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ndesai.OAS\Documents\Web Page Edited\Procurement Oppurtunities\OPASS 20-18592\"/>
    </mc:Choice>
  </mc:AlternateContent>
  <xr:revisionPtr revIDLastSave="0" documentId="8_{51BF19F6-FF4E-4DAB-9CC6-0F1D9EEC4CDD}" xr6:coauthVersionLast="45" xr6:coauthVersionMax="45" xr10:uidLastSave="{00000000-0000-0000-0000-000000000000}"/>
  <workbookProtection lockStructure="1"/>
  <bookViews>
    <workbookView xWindow="-120" yWindow="-120" windowWidth="20730" windowHeight="11160" firstSheet="1" activeTab="6" xr2:uid="{00000000-000D-0000-FFFF-FFFF00000000}"/>
  </bookViews>
  <sheets>
    <sheet name="Bid Form Instructions" sheetId="11" r:id="rId1"/>
    <sheet name="DHHC" sheetId="2" r:id="rId2"/>
    <sheet name="Holly Center" sheetId="9" r:id="rId3"/>
    <sheet name="Potomac Center" sheetId="4" r:id="rId4"/>
    <sheet name="RICA-Baltimore" sheetId="5" r:id="rId5"/>
    <sheet name="RICA-Rockville" sheetId="6" r:id="rId6"/>
    <sheet name="WMHC" sheetId="8" r:id="rId7"/>
  </sheets>
  <definedNames>
    <definedName name="_xlnm.Print_Titles" localSheetId="1">DHHC!$10:$10</definedName>
    <definedName name="_xlnm.Print_Titles" localSheetId="2">'Holly Center'!$10:$10</definedName>
    <definedName name="_xlnm.Print_Titles" localSheetId="3">'Potomac Center'!$10:$10</definedName>
    <definedName name="_xlnm.Print_Titles" localSheetId="4">'RICA-Baltimore'!$10:$10</definedName>
    <definedName name="_xlnm.Print_Titles" localSheetId="5">'RICA-Rockville'!$10:$10</definedName>
    <definedName name="_xlnm.Print_Titles" localSheetId="6">WMHC!$10:$10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3" i="8" l="1"/>
  <c r="G146" i="6"/>
  <c r="G114" i="5"/>
  <c r="G247" i="4"/>
  <c r="G146" i="9"/>
  <c r="G113" i="2"/>
  <c r="G16" i="6" l="1"/>
  <c r="G15" i="6"/>
  <c r="G14" i="6"/>
  <c r="G13" i="6"/>
  <c r="G12" i="6"/>
  <c r="G220" i="8" l="1"/>
  <c r="G219" i="8"/>
  <c r="G218" i="8"/>
  <c r="G217" i="8"/>
  <c r="G216" i="8"/>
  <c r="G215" i="8"/>
  <c r="G214" i="8"/>
  <c r="G213" i="8"/>
  <c r="G212" i="8"/>
  <c r="G211" i="8"/>
  <c r="G210" i="8"/>
  <c r="G209" i="8"/>
  <c r="G208" i="8"/>
  <c r="G207" i="8"/>
  <c r="G206" i="8"/>
  <c r="G205" i="8"/>
  <c r="G204" i="8"/>
  <c r="G203" i="8"/>
  <c r="G202" i="8"/>
  <c r="G201" i="8"/>
  <c r="G200" i="8"/>
  <c r="G199" i="8"/>
  <c r="G198" i="8"/>
  <c r="G197" i="8"/>
  <c r="G196" i="8"/>
  <c r="G195" i="8"/>
  <c r="G194" i="8"/>
  <c r="G193" i="8"/>
  <c r="G192" i="8"/>
  <c r="G191" i="8"/>
  <c r="G190" i="8"/>
  <c r="G189" i="8"/>
  <c r="G188" i="8"/>
  <c r="G187" i="8"/>
  <c r="G186" i="8"/>
  <c r="G185" i="8"/>
  <c r="G184" i="8"/>
  <c r="G183" i="8"/>
  <c r="G182" i="8"/>
  <c r="G181" i="8"/>
  <c r="G180" i="8"/>
  <c r="G179" i="8"/>
  <c r="G178" i="8"/>
  <c r="G177" i="8"/>
  <c r="G176" i="8"/>
  <c r="G175" i="8"/>
  <c r="G174" i="8"/>
  <c r="G173" i="8"/>
  <c r="G172" i="8"/>
  <c r="G171" i="8"/>
  <c r="G170" i="8"/>
  <c r="G169" i="8"/>
  <c r="G168" i="8"/>
  <c r="G167" i="8"/>
  <c r="G166" i="8"/>
  <c r="G165" i="8"/>
  <c r="G164" i="8"/>
  <c r="G163" i="8"/>
  <c r="G162" i="8"/>
  <c r="G161" i="8"/>
  <c r="G160" i="8"/>
  <c r="G159" i="8"/>
  <c r="G158" i="8"/>
  <c r="G156" i="8"/>
  <c r="G155" i="8"/>
  <c r="G154" i="8"/>
  <c r="G153" i="8"/>
  <c r="G152" i="8"/>
  <c r="G150" i="8"/>
  <c r="G93" i="8"/>
  <c r="G90" i="8"/>
  <c r="G89" i="8"/>
  <c r="G87" i="8"/>
  <c r="G86" i="8"/>
  <c r="G85" i="8"/>
  <c r="G84" i="8"/>
  <c r="G83" i="8"/>
  <c r="G82" i="8"/>
  <c r="G79" i="8"/>
  <c r="G77" i="8"/>
  <c r="G76" i="8"/>
  <c r="G73" i="8"/>
  <c r="G72" i="8"/>
  <c r="G71" i="8"/>
  <c r="G68" i="8"/>
  <c r="G67" i="8"/>
  <c r="G65" i="8"/>
  <c r="G64" i="8"/>
  <c r="G63" i="8"/>
  <c r="G60" i="8"/>
  <c r="G49" i="8"/>
  <c r="G48" i="8"/>
  <c r="G47" i="8"/>
  <c r="G45" i="8"/>
  <c r="G44" i="8"/>
  <c r="G43" i="8"/>
  <c r="G42" i="8"/>
  <c r="G40" i="8"/>
  <c r="G39" i="8"/>
  <c r="G38" i="8"/>
  <c r="G36" i="8"/>
  <c r="G34" i="8"/>
  <c r="G33" i="8"/>
  <c r="C149" i="8"/>
  <c r="G148" i="8"/>
  <c r="G144" i="8"/>
  <c r="G143" i="8"/>
  <c r="G141" i="8"/>
  <c r="C139" i="8"/>
  <c r="G137" i="8"/>
  <c r="G136" i="8"/>
  <c r="G134" i="8"/>
  <c r="G133" i="8"/>
  <c r="G131" i="8"/>
  <c r="G128" i="8"/>
  <c r="G125" i="8"/>
  <c r="G124" i="8"/>
  <c r="G123" i="8"/>
  <c r="G122" i="8"/>
  <c r="G121" i="8"/>
  <c r="G120" i="8"/>
  <c r="G119" i="8"/>
  <c r="G116" i="8"/>
  <c r="G115" i="8"/>
  <c r="G114" i="8"/>
  <c r="G113" i="8"/>
  <c r="G112" i="8"/>
  <c r="G111" i="8"/>
  <c r="G110" i="8"/>
  <c r="G109" i="8"/>
  <c r="G108" i="8"/>
  <c r="G107" i="8"/>
  <c r="G106" i="8"/>
  <c r="G105" i="8"/>
  <c r="G102" i="8"/>
  <c r="G101" i="8"/>
  <c r="G100" i="8"/>
  <c r="C59" i="8"/>
  <c r="G57" i="8"/>
  <c r="G56" i="8"/>
  <c r="G55" i="8"/>
  <c r="G54" i="8"/>
  <c r="G53" i="8"/>
  <c r="C32" i="8"/>
  <c r="G30" i="8"/>
  <c r="G29" i="8"/>
  <c r="G26" i="8"/>
  <c r="G23" i="8"/>
  <c r="G22" i="8"/>
  <c r="G21" i="8"/>
  <c r="G20" i="8"/>
  <c r="G19" i="8"/>
  <c r="G17" i="8"/>
  <c r="G16" i="8"/>
  <c r="G14" i="8"/>
  <c r="G11" i="8"/>
  <c r="G143" i="6" l="1"/>
  <c r="G140" i="6"/>
  <c r="G138" i="6"/>
  <c r="G137" i="6"/>
  <c r="G135" i="6"/>
  <c r="G134" i="6"/>
  <c r="G133" i="6"/>
  <c r="G129" i="6"/>
  <c r="G128" i="6"/>
  <c r="G127" i="6"/>
  <c r="G130" i="6"/>
  <c r="G124" i="6"/>
  <c r="G116" i="6"/>
  <c r="G114" i="6"/>
  <c r="G111" i="6"/>
  <c r="G110" i="6"/>
  <c r="G109" i="6"/>
  <c r="G103" i="6"/>
  <c r="G100" i="6"/>
  <c r="G94" i="6"/>
  <c r="G92" i="6"/>
  <c r="G91" i="6"/>
  <c r="G90" i="6"/>
  <c r="G88" i="6"/>
  <c r="G87" i="6"/>
  <c r="G85" i="6"/>
  <c r="G84" i="6"/>
  <c r="G73" i="6"/>
  <c r="G60" i="6"/>
  <c r="G55" i="6"/>
  <c r="G54" i="6"/>
  <c r="G50" i="6"/>
  <c r="G44" i="6"/>
  <c r="G43" i="6"/>
  <c r="G42" i="6"/>
  <c r="G41" i="6"/>
  <c r="G38" i="6"/>
  <c r="G37" i="6"/>
  <c r="G35" i="6"/>
  <c r="G27" i="6"/>
  <c r="G25" i="6"/>
  <c r="G88" i="9" l="1"/>
  <c r="G87" i="9"/>
  <c r="G86" i="9"/>
  <c r="G83" i="9"/>
  <c r="G82" i="9"/>
  <c r="G81" i="9"/>
  <c r="G60" i="9"/>
  <c r="G23" i="9"/>
  <c r="G22" i="9"/>
  <c r="G21" i="9"/>
  <c r="G19" i="9"/>
  <c r="G18" i="9"/>
  <c r="G15" i="9"/>
  <c r="G14" i="9"/>
  <c r="G139" i="9"/>
  <c r="G134" i="9"/>
  <c r="G133" i="9"/>
  <c r="G125" i="9"/>
  <c r="G124" i="9"/>
  <c r="G122" i="9"/>
  <c r="G117" i="9"/>
  <c r="G114" i="9"/>
  <c r="G113" i="9"/>
  <c r="G110" i="9"/>
  <c r="G108" i="9"/>
  <c r="G107" i="9"/>
  <c r="G106" i="9"/>
  <c r="G105" i="9"/>
  <c r="G104" i="9"/>
  <c r="G101" i="9"/>
  <c r="G100" i="9"/>
  <c r="G99" i="9"/>
  <c r="G98" i="9"/>
  <c r="G97" i="9"/>
  <c r="G95" i="9"/>
  <c r="G70" i="9"/>
  <c r="G66" i="9"/>
  <c r="G59" i="9"/>
  <c r="G58" i="9"/>
  <c r="G55" i="9"/>
  <c r="G39" i="9"/>
  <c r="G36" i="9"/>
  <c r="G35" i="9"/>
  <c r="G32" i="9"/>
  <c r="G29" i="9"/>
  <c r="G143" i="9" l="1"/>
  <c r="G142" i="9"/>
  <c r="G141" i="9"/>
  <c r="G140" i="9"/>
  <c r="G138" i="9"/>
  <c r="G137" i="9"/>
  <c r="G136" i="9"/>
  <c r="G135" i="9"/>
  <c r="G132" i="9"/>
  <c r="G131" i="9"/>
  <c r="G130" i="9"/>
  <c r="G129" i="9"/>
  <c r="G128" i="9"/>
  <c r="G127" i="9"/>
  <c r="G126" i="9"/>
  <c r="G123" i="9"/>
  <c r="G121" i="9"/>
  <c r="G120" i="9"/>
  <c r="G119" i="9"/>
  <c r="G118" i="9"/>
  <c r="G116" i="9"/>
  <c r="G115" i="9"/>
  <c r="G112" i="9"/>
  <c r="G111" i="9"/>
  <c r="G109" i="9"/>
  <c r="G103" i="9"/>
  <c r="G102" i="9"/>
  <c r="G96" i="9"/>
  <c r="G94" i="9"/>
  <c r="G93" i="9"/>
  <c r="G92" i="9"/>
  <c r="G91" i="9"/>
  <c r="G90" i="9"/>
  <c r="G89" i="9"/>
  <c r="G85" i="9"/>
  <c r="G84" i="9"/>
  <c r="G80" i="9"/>
  <c r="G79" i="9"/>
  <c r="G78" i="9"/>
  <c r="G75" i="9"/>
  <c r="G74" i="9"/>
  <c r="G73" i="9"/>
  <c r="G72" i="9"/>
  <c r="G71" i="9"/>
  <c r="G69" i="9"/>
  <c r="G68" i="9"/>
  <c r="G67" i="9"/>
  <c r="G65" i="9"/>
  <c r="G64" i="9"/>
  <c r="G63" i="9"/>
  <c r="G62" i="9"/>
  <c r="G61" i="9"/>
  <c r="G57" i="9"/>
  <c r="G56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8" i="9"/>
  <c r="G37" i="9"/>
  <c r="G34" i="9"/>
  <c r="G33" i="9"/>
  <c r="G31" i="9"/>
  <c r="G30" i="9"/>
  <c r="G28" i="9"/>
  <c r="G27" i="9"/>
  <c r="G26" i="9"/>
  <c r="G25" i="9"/>
  <c r="G24" i="9"/>
  <c r="G20" i="9"/>
  <c r="G17" i="9"/>
  <c r="G16" i="9"/>
  <c r="G13" i="9"/>
  <c r="G12" i="9"/>
  <c r="G11" i="9"/>
  <c r="G145" i="9" l="1"/>
  <c r="G148" i="9" s="1"/>
  <c r="G150" i="9" s="1"/>
  <c r="G16" i="5"/>
  <c r="G15" i="5"/>
  <c r="G14" i="5"/>
  <c r="G13" i="5"/>
  <c r="G23" i="6"/>
  <c r="G22" i="6"/>
  <c r="G21" i="6"/>
  <c r="G20" i="6"/>
  <c r="G18" i="6"/>
  <c r="G17" i="6"/>
  <c r="G19" i="6"/>
  <c r="G149" i="8"/>
  <c r="G138" i="8"/>
  <c r="G132" i="8"/>
  <c r="G127" i="8"/>
  <c r="G118" i="8"/>
  <c r="G117" i="8"/>
  <c r="G99" i="8"/>
  <c r="G91" i="8"/>
  <c r="G81" i="8"/>
  <c r="G75" i="8"/>
  <c r="G70" i="8"/>
  <c r="G69" i="8"/>
  <c r="G66" i="8"/>
  <c r="G62" i="8"/>
  <c r="G61" i="8"/>
  <c r="G59" i="8"/>
  <c r="G41" i="8"/>
  <c r="G37" i="8"/>
  <c r="G25" i="8"/>
  <c r="G157" i="8"/>
  <c r="G151" i="8"/>
  <c r="G147" i="8"/>
  <c r="G146" i="8"/>
  <c r="G145" i="8"/>
  <c r="G142" i="8"/>
  <c r="G140" i="8"/>
  <c r="G139" i="8"/>
  <c r="G135" i="8"/>
  <c r="G130" i="8"/>
  <c r="G129" i="8"/>
  <c r="G126" i="8"/>
  <c r="G104" i="8"/>
  <c r="G103" i="8"/>
  <c r="G98" i="8"/>
  <c r="G97" i="8"/>
  <c r="G96" i="8"/>
  <c r="G95" i="8"/>
  <c r="G94" i="8"/>
  <c r="G92" i="8"/>
  <c r="G88" i="8"/>
  <c r="G80" i="8"/>
  <c r="G78" i="8"/>
  <c r="G74" i="8"/>
  <c r="G58" i="8"/>
  <c r="G52" i="8"/>
  <c r="G51" i="8"/>
  <c r="G50" i="8"/>
  <c r="G46" i="8"/>
  <c r="G35" i="8"/>
  <c r="G32" i="8"/>
  <c r="G31" i="8"/>
  <c r="G28" i="8"/>
  <c r="G27" i="8"/>
  <c r="G24" i="8"/>
  <c r="G18" i="8"/>
  <c r="G15" i="8"/>
  <c r="G13" i="8"/>
  <c r="G12" i="8"/>
  <c r="G106" i="6"/>
  <c r="G99" i="6"/>
  <c r="G98" i="6"/>
  <c r="G81" i="6"/>
  <c r="G79" i="6"/>
  <c r="G74" i="6"/>
  <c r="G72" i="6"/>
  <c r="G71" i="6"/>
  <c r="G65" i="6"/>
  <c r="G59" i="6"/>
  <c r="G58" i="6"/>
  <c r="G56" i="6"/>
  <c r="G222" i="8" l="1"/>
  <c r="G225" i="8" s="1"/>
  <c r="G227" i="8" s="1"/>
  <c r="G142" i="6"/>
  <c r="G141" i="6"/>
  <c r="G139" i="6"/>
  <c r="G136" i="6"/>
  <c r="G132" i="6"/>
  <c r="G131" i="6"/>
  <c r="G126" i="6"/>
  <c r="G125" i="6"/>
  <c r="G123" i="6"/>
  <c r="G122" i="6"/>
  <c r="G121" i="6"/>
  <c r="G120" i="6"/>
  <c r="G119" i="6"/>
  <c r="G118" i="6"/>
  <c r="G117" i="6"/>
  <c r="G115" i="6"/>
  <c r="G113" i="6"/>
  <c r="G112" i="6"/>
  <c r="G108" i="6"/>
  <c r="G107" i="6"/>
  <c r="G105" i="6"/>
  <c r="G104" i="6"/>
  <c r="G102" i="6"/>
  <c r="G101" i="6"/>
  <c r="G97" i="6"/>
  <c r="G96" i="6"/>
  <c r="G95" i="6"/>
  <c r="G93" i="6"/>
  <c r="G89" i="6"/>
  <c r="G86" i="6"/>
  <c r="G83" i="6"/>
  <c r="G82" i="6"/>
  <c r="G80" i="6"/>
  <c r="G78" i="6"/>
  <c r="G77" i="6"/>
  <c r="G76" i="6"/>
  <c r="G75" i="6"/>
  <c r="G70" i="6"/>
  <c r="G69" i="6"/>
  <c r="G68" i="6"/>
  <c r="G67" i="6"/>
  <c r="G66" i="6"/>
  <c r="G64" i="6"/>
  <c r="G63" i="6"/>
  <c r="G62" i="6"/>
  <c r="G61" i="6"/>
  <c r="G57" i="6"/>
  <c r="G53" i="6"/>
  <c r="G52" i="6"/>
  <c r="G51" i="6"/>
  <c r="G49" i="6"/>
  <c r="G48" i="6"/>
  <c r="G47" i="6"/>
  <c r="G46" i="6"/>
  <c r="G45" i="6"/>
  <c r="G40" i="6"/>
  <c r="G39" i="6"/>
  <c r="G36" i="6"/>
  <c r="G34" i="6"/>
  <c r="G33" i="6"/>
  <c r="G32" i="6"/>
  <c r="G31" i="6"/>
  <c r="G30" i="6"/>
  <c r="G29" i="6"/>
  <c r="G28" i="6"/>
  <c r="G26" i="6"/>
  <c r="G24" i="6"/>
  <c r="G11" i="6"/>
  <c r="G110" i="5"/>
  <c r="G109" i="5"/>
  <c r="G104" i="5"/>
  <c r="G97" i="5"/>
  <c r="G96" i="5"/>
  <c r="G95" i="5"/>
  <c r="G94" i="5"/>
  <c r="G93" i="5"/>
  <c r="G81" i="5"/>
  <c r="G80" i="5"/>
  <c r="G79" i="5"/>
  <c r="G65" i="5"/>
  <c r="G64" i="5"/>
  <c r="G63" i="5"/>
  <c r="G61" i="5"/>
  <c r="G60" i="5"/>
  <c r="G59" i="5"/>
  <c r="G58" i="5"/>
  <c r="G55" i="5"/>
  <c r="G54" i="5"/>
  <c r="G53" i="5"/>
  <c r="G51" i="5"/>
  <c r="G50" i="5"/>
  <c r="G49" i="5"/>
  <c r="G48" i="5"/>
  <c r="G45" i="5"/>
  <c r="G44" i="5"/>
  <c r="G111" i="5"/>
  <c r="G108" i="5"/>
  <c r="G107" i="5"/>
  <c r="G106" i="5"/>
  <c r="G105" i="5"/>
  <c r="G103" i="5"/>
  <c r="G102" i="5"/>
  <c r="G101" i="5"/>
  <c r="G100" i="5"/>
  <c r="G99" i="5"/>
  <c r="G98" i="5"/>
  <c r="G92" i="5"/>
  <c r="G91" i="5"/>
  <c r="G90" i="5"/>
  <c r="G89" i="5"/>
  <c r="G88" i="5"/>
  <c r="G87" i="5"/>
  <c r="G86" i="5"/>
  <c r="G85" i="5"/>
  <c r="G84" i="5"/>
  <c r="G83" i="5"/>
  <c r="G82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2" i="5"/>
  <c r="G57" i="5"/>
  <c r="G56" i="5"/>
  <c r="G52" i="5"/>
  <c r="G47" i="5"/>
  <c r="G46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2" i="5"/>
  <c r="G11" i="5"/>
  <c r="G242" i="4"/>
  <c r="G239" i="4"/>
  <c r="G235" i="4"/>
  <c r="G233" i="4"/>
  <c r="G231" i="4"/>
  <c r="G228" i="4"/>
  <c r="G227" i="4"/>
  <c r="G225" i="4"/>
  <c r="G218" i="4"/>
  <c r="G213" i="4"/>
  <c r="G193" i="4"/>
  <c r="G191" i="4"/>
  <c r="G189" i="4"/>
  <c r="G187" i="4"/>
  <c r="G184" i="4"/>
  <c r="G177" i="4"/>
  <c r="G172" i="4"/>
  <c r="G170" i="4"/>
  <c r="G168" i="4"/>
  <c r="G166" i="4"/>
  <c r="G165" i="4"/>
  <c r="G155" i="4"/>
  <c r="G148" i="4"/>
  <c r="G131" i="4"/>
  <c r="G126" i="4"/>
  <c r="G124" i="4"/>
  <c r="G120" i="4"/>
  <c r="G110" i="4"/>
  <c r="G105" i="4"/>
  <c r="G103" i="4"/>
  <c r="G100" i="4"/>
  <c r="G94" i="4"/>
  <c r="G89" i="4"/>
  <c r="G87" i="4"/>
  <c r="G81" i="4"/>
  <c r="G79" i="4"/>
  <c r="G78" i="4"/>
  <c r="G77" i="4"/>
  <c r="G76" i="4"/>
  <c r="G75" i="4"/>
  <c r="G63" i="4"/>
  <c r="G62" i="4"/>
  <c r="G61" i="4"/>
  <c r="G60" i="4"/>
  <c r="G53" i="4"/>
  <c r="G51" i="4"/>
  <c r="G45" i="4"/>
  <c r="G43" i="4"/>
  <c r="G41" i="4"/>
  <c r="G38" i="4"/>
  <c r="G37" i="4"/>
  <c r="G36" i="4"/>
  <c r="G26" i="4"/>
  <c r="G25" i="4"/>
  <c r="G24" i="4"/>
  <c r="G23" i="4"/>
  <c r="G18" i="4"/>
  <c r="G17" i="4"/>
  <c r="G16" i="4"/>
  <c r="G15" i="4"/>
  <c r="G14" i="4"/>
  <c r="G13" i="4"/>
  <c r="G12" i="4"/>
  <c r="G11" i="4"/>
  <c r="C244" i="4"/>
  <c r="G244" i="4" s="1"/>
  <c r="C243" i="4"/>
  <c r="G243" i="4" s="1"/>
  <c r="C241" i="4"/>
  <c r="G241" i="4" s="1"/>
  <c r="C240" i="4"/>
  <c r="G240" i="4" s="1"/>
  <c r="C238" i="4"/>
  <c r="G238" i="4" s="1"/>
  <c r="C237" i="4"/>
  <c r="G237" i="4" s="1"/>
  <c r="C236" i="4"/>
  <c r="G236" i="4" s="1"/>
  <c r="C234" i="4"/>
  <c r="G234" i="4" s="1"/>
  <c r="C232" i="4"/>
  <c r="G232" i="4" s="1"/>
  <c r="C230" i="4"/>
  <c r="G230" i="4" s="1"/>
  <c r="C229" i="4"/>
  <c r="G229" i="4" s="1"/>
  <c r="G113" i="5" l="1"/>
  <c r="G116" i="5" s="1"/>
  <c r="G118" i="5" s="1"/>
  <c r="G145" i="6"/>
  <c r="G148" i="6" s="1"/>
  <c r="G150" i="6" s="1"/>
  <c r="C226" i="4"/>
  <c r="G226" i="4" s="1"/>
  <c r="C224" i="4"/>
  <c r="G224" i="4" s="1"/>
  <c r="C223" i="4"/>
  <c r="G223" i="4" s="1"/>
  <c r="C222" i="4"/>
  <c r="G222" i="4" s="1"/>
  <c r="C221" i="4"/>
  <c r="G221" i="4" s="1"/>
  <c r="C220" i="4"/>
  <c r="G220" i="4" s="1"/>
  <c r="C219" i="4"/>
  <c r="G219" i="4" s="1"/>
  <c r="C217" i="4"/>
  <c r="G217" i="4" s="1"/>
  <c r="C216" i="4"/>
  <c r="G216" i="4" s="1"/>
  <c r="C215" i="4"/>
  <c r="G215" i="4" s="1"/>
  <c r="C214" i="4"/>
  <c r="G214" i="4" s="1"/>
  <c r="C212" i="4"/>
  <c r="G212" i="4" s="1"/>
  <c r="C211" i="4"/>
  <c r="G211" i="4" s="1"/>
  <c r="C210" i="4"/>
  <c r="G210" i="4" s="1"/>
  <c r="C209" i="4"/>
  <c r="G209" i="4" s="1"/>
  <c r="C208" i="4"/>
  <c r="G208" i="4" s="1"/>
  <c r="C207" i="4"/>
  <c r="G207" i="4" s="1"/>
  <c r="C206" i="4"/>
  <c r="G206" i="4" s="1"/>
  <c r="C205" i="4"/>
  <c r="G205" i="4" s="1"/>
  <c r="C204" i="4"/>
  <c r="G204" i="4" s="1"/>
  <c r="C203" i="4"/>
  <c r="G203" i="4" s="1"/>
  <c r="C202" i="4"/>
  <c r="G202" i="4" s="1"/>
  <c r="C201" i="4"/>
  <c r="G201" i="4" s="1"/>
  <c r="C200" i="4"/>
  <c r="G200" i="4" s="1"/>
  <c r="C199" i="4"/>
  <c r="G199" i="4" s="1"/>
  <c r="C198" i="4"/>
  <c r="G198" i="4" s="1"/>
  <c r="C197" i="4"/>
  <c r="G197" i="4" s="1"/>
  <c r="C196" i="4"/>
  <c r="G196" i="4" s="1"/>
  <c r="C195" i="4"/>
  <c r="G195" i="4" s="1"/>
  <c r="C194" i="4"/>
  <c r="G194" i="4" s="1"/>
  <c r="C192" i="4"/>
  <c r="G192" i="4" s="1"/>
  <c r="C190" i="4"/>
  <c r="G190" i="4" s="1"/>
  <c r="C188" i="4"/>
  <c r="G188" i="4" s="1"/>
  <c r="C186" i="4"/>
  <c r="G186" i="4" s="1"/>
  <c r="C185" i="4"/>
  <c r="G185" i="4" s="1"/>
  <c r="C183" i="4"/>
  <c r="G183" i="4" s="1"/>
  <c r="C182" i="4"/>
  <c r="G182" i="4" s="1"/>
  <c r="C181" i="4"/>
  <c r="G181" i="4" s="1"/>
  <c r="C180" i="4"/>
  <c r="G180" i="4" s="1"/>
  <c r="C179" i="4"/>
  <c r="G179" i="4" s="1"/>
  <c r="C178" i="4"/>
  <c r="G178" i="4" s="1"/>
  <c r="C176" i="4"/>
  <c r="G176" i="4" s="1"/>
  <c r="C175" i="4"/>
  <c r="G175" i="4" s="1"/>
  <c r="C174" i="4"/>
  <c r="G174" i="4" s="1"/>
  <c r="C173" i="4"/>
  <c r="G173" i="4" s="1"/>
  <c r="C171" i="4"/>
  <c r="G171" i="4" s="1"/>
  <c r="C169" i="4"/>
  <c r="G169" i="4" s="1"/>
  <c r="C167" i="4"/>
  <c r="G167" i="4" s="1"/>
  <c r="C164" i="4"/>
  <c r="G164" i="4" s="1"/>
  <c r="C163" i="4"/>
  <c r="G163" i="4" s="1"/>
  <c r="C162" i="4"/>
  <c r="G162" i="4" s="1"/>
  <c r="C161" i="4"/>
  <c r="G161" i="4" s="1"/>
  <c r="C160" i="4"/>
  <c r="G160" i="4" s="1"/>
  <c r="C159" i="4"/>
  <c r="G159" i="4" s="1"/>
  <c r="C158" i="4"/>
  <c r="G158" i="4" s="1"/>
  <c r="C157" i="4"/>
  <c r="G157" i="4" s="1"/>
  <c r="C156" i="4"/>
  <c r="G156" i="4" s="1"/>
  <c r="C154" i="4"/>
  <c r="G154" i="4" s="1"/>
  <c r="C153" i="4"/>
  <c r="G153" i="4" s="1"/>
  <c r="C152" i="4"/>
  <c r="G152" i="4" s="1"/>
  <c r="C151" i="4"/>
  <c r="G151" i="4" s="1"/>
  <c r="C150" i="4"/>
  <c r="G150" i="4" s="1"/>
  <c r="C149" i="4"/>
  <c r="G149" i="4" s="1"/>
  <c r="C147" i="4"/>
  <c r="G147" i="4" s="1"/>
  <c r="C146" i="4"/>
  <c r="G146" i="4" s="1"/>
  <c r="C145" i="4"/>
  <c r="G145" i="4" s="1"/>
  <c r="C144" i="4"/>
  <c r="G144" i="4" s="1"/>
  <c r="C143" i="4"/>
  <c r="G143" i="4" s="1"/>
  <c r="C142" i="4"/>
  <c r="G142" i="4" s="1"/>
  <c r="C141" i="4"/>
  <c r="G141" i="4" s="1"/>
  <c r="C140" i="4"/>
  <c r="G140" i="4" s="1"/>
  <c r="C139" i="4"/>
  <c r="G139" i="4" s="1"/>
  <c r="C138" i="4"/>
  <c r="G138" i="4" s="1"/>
  <c r="C137" i="4"/>
  <c r="G137" i="4" s="1"/>
  <c r="C136" i="4"/>
  <c r="G136" i="4" s="1"/>
  <c r="C135" i="4"/>
  <c r="G135" i="4" s="1"/>
  <c r="C134" i="4"/>
  <c r="G134" i="4" s="1"/>
  <c r="C133" i="4"/>
  <c r="G133" i="4" s="1"/>
  <c r="C132" i="4"/>
  <c r="G132" i="4" s="1"/>
  <c r="C130" i="4"/>
  <c r="G130" i="4" s="1"/>
  <c r="C129" i="4"/>
  <c r="G129" i="4" s="1"/>
  <c r="C128" i="4"/>
  <c r="G128" i="4" s="1"/>
  <c r="C127" i="4"/>
  <c r="G127" i="4" s="1"/>
  <c r="C125" i="4"/>
  <c r="G125" i="4" s="1"/>
  <c r="C123" i="4"/>
  <c r="G123" i="4" s="1"/>
  <c r="C122" i="4"/>
  <c r="G122" i="4" s="1"/>
  <c r="C121" i="4"/>
  <c r="G121" i="4" s="1"/>
  <c r="C119" i="4"/>
  <c r="G119" i="4" s="1"/>
  <c r="C118" i="4"/>
  <c r="G118" i="4" s="1"/>
  <c r="C117" i="4"/>
  <c r="G117" i="4" s="1"/>
  <c r="C116" i="4"/>
  <c r="G116" i="4" s="1"/>
  <c r="C115" i="4"/>
  <c r="G115" i="4" s="1"/>
  <c r="C114" i="4"/>
  <c r="G114" i="4" s="1"/>
  <c r="C113" i="4"/>
  <c r="G113" i="4" s="1"/>
  <c r="C112" i="4"/>
  <c r="G112" i="4" s="1"/>
  <c r="C111" i="4"/>
  <c r="G111" i="4" s="1"/>
  <c r="C109" i="4"/>
  <c r="G109" i="4" s="1"/>
  <c r="C108" i="4"/>
  <c r="G108" i="4" s="1"/>
  <c r="C107" i="4"/>
  <c r="G107" i="4" s="1"/>
  <c r="C106" i="4"/>
  <c r="G106" i="4" s="1"/>
  <c r="C104" i="4"/>
  <c r="G104" i="4" s="1"/>
  <c r="C102" i="4"/>
  <c r="G102" i="4" s="1"/>
  <c r="C101" i="4"/>
  <c r="G101" i="4" s="1"/>
  <c r="C99" i="4"/>
  <c r="G99" i="4" s="1"/>
  <c r="C98" i="4"/>
  <c r="G98" i="4" s="1"/>
  <c r="C97" i="4"/>
  <c r="G97" i="4" s="1"/>
  <c r="C96" i="4"/>
  <c r="G96" i="4" s="1"/>
  <c r="C95" i="4"/>
  <c r="G95" i="4" s="1"/>
  <c r="C93" i="4"/>
  <c r="G93" i="4" s="1"/>
  <c r="C92" i="4"/>
  <c r="G92" i="4" s="1"/>
  <c r="C91" i="4"/>
  <c r="G91" i="4" s="1"/>
  <c r="C90" i="4"/>
  <c r="G90" i="4" s="1"/>
  <c r="C88" i="4"/>
  <c r="G88" i="4" s="1"/>
  <c r="C86" i="4"/>
  <c r="G86" i="4" s="1"/>
  <c r="C85" i="4"/>
  <c r="G85" i="4" s="1"/>
  <c r="C84" i="4"/>
  <c r="G84" i="4" s="1"/>
  <c r="C83" i="4"/>
  <c r="G83" i="4" s="1"/>
  <c r="C82" i="4"/>
  <c r="G82" i="4" s="1"/>
  <c r="C80" i="4"/>
  <c r="G80" i="4" s="1"/>
  <c r="C74" i="4"/>
  <c r="G74" i="4" s="1"/>
  <c r="C73" i="4"/>
  <c r="G73" i="4" s="1"/>
  <c r="C72" i="4"/>
  <c r="G72" i="4" s="1"/>
  <c r="C71" i="4"/>
  <c r="G71" i="4" s="1"/>
  <c r="C70" i="4"/>
  <c r="G70" i="4" s="1"/>
  <c r="C69" i="4"/>
  <c r="G69" i="4" s="1"/>
  <c r="C68" i="4"/>
  <c r="G68" i="4" s="1"/>
  <c r="C67" i="4"/>
  <c r="G67" i="4" s="1"/>
  <c r="C66" i="4"/>
  <c r="G66" i="4" s="1"/>
  <c r="C65" i="4"/>
  <c r="G65" i="4" s="1"/>
  <c r="C64" i="4"/>
  <c r="G64" i="4" s="1"/>
  <c r="C59" i="4"/>
  <c r="G59" i="4" s="1"/>
  <c r="C58" i="4"/>
  <c r="G58" i="4" s="1"/>
  <c r="C57" i="4"/>
  <c r="G57" i="4" s="1"/>
  <c r="C56" i="4"/>
  <c r="G56" i="4" s="1"/>
  <c r="C55" i="4"/>
  <c r="G55" i="4" s="1"/>
  <c r="C54" i="4"/>
  <c r="G54" i="4" s="1"/>
  <c r="C52" i="4"/>
  <c r="G52" i="4" s="1"/>
  <c r="C50" i="4"/>
  <c r="G50" i="4" s="1"/>
  <c r="C49" i="4"/>
  <c r="G49" i="4" s="1"/>
  <c r="C48" i="4"/>
  <c r="G48" i="4" s="1"/>
  <c r="C47" i="4"/>
  <c r="G47" i="4" s="1"/>
  <c r="C46" i="4"/>
  <c r="G46" i="4" s="1"/>
  <c r="C44" i="4"/>
  <c r="G44" i="4" s="1"/>
  <c r="C42" i="4"/>
  <c r="G42" i="4" s="1"/>
  <c r="C40" i="4"/>
  <c r="G40" i="4" s="1"/>
  <c r="C39" i="4"/>
  <c r="G39" i="4" s="1"/>
  <c r="C35" i="4"/>
  <c r="G35" i="4" s="1"/>
  <c r="C34" i="4"/>
  <c r="G34" i="4" s="1"/>
  <c r="C33" i="4"/>
  <c r="G33" i="4" s="1"/>
  <c r="C32" i="4"/>
  <c r="G32" i="4" s="1"/>
  <c r="C31" i="4"/>
  <c r="G31" i="4" s="1"/>
  <c r="C30" i="4"/>
  <c r="G30" i="4" s="1"/>
  <c r="C29" i="4"/>
  <c r="G29" i="4" s="1"/>
  <c r="C28" i="4"/>
  <c r="G28" i="4" s="1"/>
  <c r="C27" i="4"/>
  <c r="G27" i="4" s="1"/>
  <c r="C22" i="4"/>
  <c r="G22" i="4" s="1"/>
  <c r="C19" i="4"/>
  <c r="G19" i="4" s="1"/>
  <c r="C21" i="4"/>
  <c r="G21" i="4" s="1"/>
  <c r="C20" i="4"/>
  <c r="G20" i="4" s="1"/>
  <c r="G246" i="4" l="1"/>
  <c r="G249" i="4" s="1"/>
  <c r="G251" i="4" s="1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12" i="2" l="1"/>
  <c r="G115" i="2" s="1"/>
  <c r="G117" i="2" s="1"/>
</calcChain>
</file>

<file path=xl/sharedStrings.xml><?xml version="1.0" encoding="utf-8"?>
<sst xmlns="http://schemas.openxmlformats.org/spreadsheetml/2006/main" count="1156" uniqueCount="752">
  <si>
    <t xml:space="preserve">Submitted By: </t>
  </si>
  <si>
    <t>Authorized Signature:</t>
  </si>
  <si>
    <t>Date:</t>
  </si>
  <si>
    <t>Printed Name &amp; Title:</t>
  </si>
  <si>
    <t>FEIN:</t>
  </si>
  <si>
    <t>The Bid shall contain all price information in the format specified on these pages.  Complete the Bid Form only as</t>
  </si>
  <si>
    <t>provided in the Bid Pricing Instructions.  Do not amend, alter or leave blank any items on the Bid Form.  If Option</t>
  </si>
  <si>
    <t>Years are included, Bidders must submit Bids for each Option Year.  Failure to adhere to any of these instructions</t>
  </si>
  <si>
    <t>may result in the Bid being determined non-responsive and rejected by the Department.</t>
  </si>
  <si>
    <t>MDH/OPASS #:</t>
  </si>
  <si>
    <t>APPENDIX 2 -  BID  FORM</t>
  </si>
  <si>
    <t>Maryland Department of Health</t>
  </si>
  <si>
    <t>DRUG NAME</t>
  </si>
  <si>
    <t>ESTIMATED QUANTITY (12 MONTHS)</t>
  </si>
  <si>
    <t>ACETAMINOPHEN 325MG TAB</t>
  </si>
  <si>
    <t>ACETAMINOPHEN 500MG TAB</t>
  </si>
  <si>
    <t>ALLOPURINOL 100MG TAB</t>
  </si>
  <si>
    <t>AMIODARONE HCL 200MG TAB</t>
  </si>
  <si>
    <t>AMITIZA 24MCG CAP</t>
  </si>
  <si>
    <t>amLODIPine 10MG TAB</t>
  </si>
  <si>
    <t>amLODIPine 5mg tab</t>
  </si>
  <si>
    <t>ASCORBIC ACID 500MG TAB</t>
  </si>
  <si>
    <t>ASPIRIN 325MG TAB</t>
  </si>
  <si>
    <t>ASPIRIN CHEWABLE 81MG TAB</t>
  </si>
  <si>
    <t>ASPIRIN EC 81MG TAB</t>
  </si>
  <si>
    <t>ATORVASTATIN 10MG TAB</t>
  </si>
  <si>
    <t>ATORVASTATIN 20MG TAB</t>
  </si>
  <si>
    <t>ATORVASTATIN 40MG TAB</t>
  </si>
  <si>
    <t>BACLOFEN 10MG TAB</t>
  </si>
  <si>
    <t>BACLOFEN 20MG TAB</t>
  </si>
  <si>
    <t>BISACODYL 5MG TAB</t>
  </si>
  <si>
    <t>Calc Carb W/vit D  600-400 TAB</t>
  </si>
  <si>
    <t>CALCIUM ACETATE 667MG CAP</t>
  </si>
  <si>
    <t>CARBAMAZEPINE 200MG TAB</t>
  </si>
  <si>
    <t>CARVEDILOL  3.125MG TAB</t>
  </si>
  <si>
    <t>CARVEDILOL 12.5 MG TAB</t>
  </si>
  <si>
    <t>CARVEDILOL 6.25MG TAB</t>
  </si>
  <si>
    <t>clonazePAM  1MG TAB</t>
  </si>
  <si>
    <t>DICYCLOMINE HCL 20MG TAB</t>
  </si>
  <si>
    <t>DILTIAZEM HCL 30MG TAB</t>
  </si>
  <si>
    <t>DIVALPROEX   SPRINKLES 125MG C</t>
  </si>
  <si>
    <t>DOCUSATE 100MG CAP</t>
  </si>
  <si>
    <t>DULOXETINE 30MG CAP</t>
  </si>
  <si>
    <t>ELIQUIS 2.5 MG TAB</t>
  </si>
  <si>
    <t>ELIQUIS 5 MG TAB</t>
  </si>
  <si>
    <t>FERROUS SULFATE 325MG TAB</t>
  </si>
  <si>
    <t>FLORANEX     TAB</t>
  </si>
  <si>
    <t>FOLIC ACID 1MG TAB</t>
  </si>
  <si>
    <t>FUROSEMIDE 20MG TAB</t>
  </si>
  <si>
    <t>FUROSEMIDE 40MG TAB</t>
  </si>
  <si>
    <t>FUROSEMIDE 80MG TAB</t>
  </si>
  <si>
    <t>GABAPENTIN 100MG CAP</t>
  </si>
  <si>
    <t>GABAPENTIN 300MG CAP</t>
  </si>
  <si>
    <t>GABAPENTIN 400MG CAP</t>
  </si>
  <si>
    <t>GABAPENTIN 600MG TAB</t>
  </si>
  <si>
    <t>GLIPIZIDE  10MG TAB</t>
  </si>
  <si>
    <t>GLIPIZIDE 5MG TAB</t>
  </si>
  <si>
    <t>GLYCOPYRROLATE 1MG TAB</t>
  </si>
  <si>
    <t>hydrALAZine 100MG TAB</t>
  </si>
  <si>
    <t>hydrALAZine 50mg tab</t>
  </si>
  <si>
    <t>hydrALAZINE 25MG TAB</t>
  </si>
  <si>
    <t>IMIPRAMINE HCL 50MG TAB</t>
  </si>
  <si>
    <t>INSULIN "HUMALOG"  100 UNIT/ML</t>
  </si>
  <si>
    <t>INSULIN LANTUS 100 UNITS/ML  M</t>
  </si>
  <si>
    <t>LEVETIRACETAM 500MG TAB</t>
  </si>
  <si>
    <t>LIDOCAINE  ADH.  5% PAT</t>
  </si>
  <si>
    <t xml:space="preserve">LISINOPRIL 20MG TAB </t>
  </si>
  <si>
    <t>LORATADINE 10MG</t>
  </si>
  <si>
    <t>LORazepam  0.5MG TAB</t>
  </si>
  <si>
    <t>LORazepam  1MG TAB</t>
  </si>
  <si>
    <t>LYRICA 75MG CAP</t>
  </si>
  <si>
    <t>MAGNESIUM OXIDE 400MG TAB</t>
  </si>
  <si>
    <t>MEMANTINE 10MG TAB</t>
  </si>
  <si>
    <t>METFORMIN 1000 MG TAB</t>
  </si>
  <si>
    <t>METFORMIN 500MG TAB</t>
  </si>
  <si>
    <t>METHADONE 5MG TAB</t>
  </si>
  <si>
    <t>METOCLOPRAMIDE HCL 5MG TAB</t>
  </si>
  <si>
    <t>METOPROLOL SUCC ER 25MG TAB</t>
  </si>
  <si>
    <t>METOPROLOL TART 25MG TAB</t>
  </si>
  <si>
    <t>METOPROLOL TART 50MG TAB</t>
  </si>
  <si>
    <t>METOPTOLOL TART 100MG TAB</t>
  </si>
  <si>
    <t>MIRTAZAPINE 30MG TAB</t>
  </si>
  <si>
    <t>MIRTAZAPINE 45MG TAB</t>
  </si>
  <si>
    <t>NOVOLOG INSULIN (rDNA ORIGIN)</t>
  </si>
  <si>
    <t>OXYBUTYNIN CHLORIDE 5MG TAB</t>
  </si>
  <si>
    <t>OXYCODONE 5MG TAB</t>
  </si>
  <si>
    <t>PANTOPRAZOLE 40MG TAB</t>
  </si>
  <si>
    <t>PANTOPRAZOLE TAB 20MG</t>
  </si>
  <si>
    <t>POTASSIUM CHLOR ER 20MEQ TAB</t>
  </si>
  <si>
    <t>POTASSIUM CHLORIDE 10MEQ TAB</t>
  </si>
  <si>
    <t>potassium effe 25 meq tab</t>
  </si>
  <si>
    <t>PRESERVISION LUTEIN CAP</t>
  </si>
  <si>
    <t>RANITIDINE HCL 150MG TAB</t>
  </si>
  <si>
    <t>SENNA 8.6MG TAB</t>
  </si>
  <si>
    <t>SENNA S 8.6-50MG TAB</t>
  </si>
  <si>
    <t>SENSIPAR 30MG TAB</t>
  </si>
  <si>
    <t>SENSIPAR 60MG TAB</t>
  </si>
  <si>
    <t>SENSIPAR 90MG TAB</t>
  </si>
  <si>
    <t>SERTRALINE 100MG TAB</t>
  </si>
  <si>
    <t>SERTRALINE 50MG TAB</t>
  </si>
  <si>
    <t>SEVELAMER CARB 0.8GM PACKETS</t>
  </si>
  <si>
    <t>SEVELAMER CARBONATE 800MG TAB</t>
  </si>
  <si>
    <t>SIMETHICONE (mi-acid) 80MG TAB</t>
  </si>
  <si>
    <t>SODIUM CHLORIDE 1G TAB</t>
  </si>
  <si>
    <t>tamsulsin 0.4MG CAP</t>
  </si>
  <si>
    <t>THERA-M      TAB</t>
  </si>
  <si>
    <t>TIZANIDINE HCL 2MG TAB</t>
  </si>
  <si>
    <t>TRAMADOL 50MG TAB</t>
  </si>
  <si>
    <t>TRAZODONE HCL 50MG TAB</t>
  </si>
  <si>
    <t>VALPROIC ACID 250MG CAP</t>
  </si>
  <si>
    <t>VITAMIN D3 2000 UNITS</t>
  </si>
  <si>
    <t>VITAMIN D3 400 UNIT TAB</t>
  </si>
  <si>
    <t>XARELTO 20 MG TAB</t>
  </si>
  <si>
    <t>ZINC SULFATE 220MG CAP</t>
  </si>
  <si>
    <t>BID PRICE</t>
  </si>
  <si>
    <t>TOTAL ANNUAL BID PRICE</t>
  </si>
  <si>
    <t>Title: Pharmaceutical Services - Deer's Head Hospital Center</t>
  </si>
  <si>
    <t>eMM#:</t>
  </si>
  <si>
    <t>Title: Pharmaceutical Services - Holly Center</t>
  </si>
  <si>
    <t>ALPRAZolam 0.5MG TAB</t>
  </si>
  <si>
    <t>AMITIZA 8 MCG CAP</t>
  </si>
  <si>
    <t>BENZTROPINE MES 0.5MG TAB</t>
  </si>
  <si>
    <t>BENZTROPINE MES 1MG TAB</t>
  </si>
  <si>
    <t>BROMOCRIPTINE MES 2.5MG TAB</t>
  </si>
  <si>
    <t>CARBAMAZEPINE 100MG TAB</t>
  </si>
  <si>
    <t>CARBAMAZEPINE ER 300MG CAP</t>
  </si>
  <si>
    <t>CARVEDILOL 12.5MG TAB</t>
  </si>
  <si>
    <t>CETIRIZINE 10MG TAB</t>
  </si>
  <si>
    <t>CHLORPROMAZINE 100MG TAB</t>
  </si>
  <si>
    <t>CITALOPRAM 10MG TAB</t>
  </si>
  <si>
    <t>CITALOPRAM 20MG TAB</t>
  </si>
  <si>
    <t>clonazePAM 1MG TAB</t>
  </si>
  <si>
    <t>clonazePAM 0.5MG TAB</t>
  </si>
  <si>
    <t>CLONIDINE  HCL  0.1MG TAB</t>
  </si>
  <si>
    <t>DIAZEPAM 10MG TAB</t>
  </si>
  <si>
    <t>DIAZEPAM 2 MG TAB</t>
  </si>
  <si>
    <t>DIAZEPAM 5MG TAB</t>
  </si>
  <si>
    <t>DIVALPROEX SPRINKLES 125MG CAP</t>
  </si>
  <si>
    <t>DIVALPROEX TAB 500MG DR</t>
  </si>
  <si>
    <t>DIVALPROEX 250MG TAB</t>
  </si>
  <si>
    <t>DIVALPROEX ER 500MG TAB</t>
  </si>
  <si>
    <t>FAMOTIDINE 40MG TAB</t>
  </si>
  <si>
    <t>FLUOXETINE HCL 20MG CAP</t>
  </si>
  <si>
    <t>GABAPENTIN 800MG TAB</t>
  </si>
  <si>
    <t>HYDROXYZINE HCL 50MG TAB</t>
  </si>
  <si>
    <t>IBUPROFEN 400MG TAB</t>
  </si>
  <si>
    <t>IBUPROFEN 600MG TAB</t>
  </si>
  <si>
    <t>LANSOPRAZOLE 30MG SOLTAB</t>
  </si>
  <si>
    <t>LEVETIRACETAM 1000MG TAB</t>
  </si>
  <si>
    <t>LEVETIRACETAM 250MG TAB</t>
  </si>
  <si>
    <t>LEVETIRACETAM 750MG TAB</t>
  </si>
  <si>
    <t>LEVOTHYROXINE 25MCG TAB</t>
  </si>
  <si>
    <t>LEVOTHYROXINE 50MCG TAB</t>
  </si>
  <si>
    <t>LEVOTHYROXINE 88MCG TAB</t>
  </si>
  <si>
    <t>LITHIUM CARBONATE 300MG CAP</t>
  </si>
  <si>
    <t>LORazepam 2MG TAB</t>
  </si>
  <si>
    <t>MELATONIN 3MG TAB</t>
  </si>
  <si>
    <t>METFORMIN 1000MG TAB</t>
  </si>
  <si>
    <t>METOCLOPRAMIDE HCL 10MG TAB</t>
  </si>
  <si>
    <t>METOPROLOL TART 100MG TAB</t>
  </si>
  <si>
    <t>OLANZAPINE 10MG TAB</t>
  </si>
  <si>
    <t>OLANZAPINE 15MG TAB</t>
  </si>
  <si>
    <t>OMEPRAZOLE 20MG CAP</t>
  </si>
  <si>
    <t>OXCARBAZEPINE 300MG TAB</t>
  </si>
  <si>
    <t>OXCARBAZEPINE 600MG TAB</t>
  </si>
  <si>
    <t>PALIPERIDONE 9MG ER TAB</t>
  </si>
  <si>
    <t>PHENYTOIN 50MG CHEWABLE TAB</t>
  </si>
  <si>
    <t>QUETIAPINE 100MG TAB</t>
  </si>
  <si>
    <t>QUETIAPINE 400MG TAB</t>
  </si>
  <si>
    <t>RISPERIDONE 3MG TAB</t>
  </si>
  <si>
    <t>ROSUVASTATIN 10MG TAB</t>
  </si>
  <si>
    <t>SENNA 8.6-50MG TAB</t>
  </si>
  <si>
    <t>SIMVASTATIN 10MG TAB</t>
  </si>
  <si>
    <t>SIMVASTATIN 20MG TAB</t>
  </si>
  <si>
    <t>SUCRALFATE 1G TAB</t>
  </si>
  <si>
    <t>TRAZODONE HCL 100MG TAB</t>
  </si>
  <si>
    <t>VITAMIN D3 1000 UNIT TAB</t>
  </si>
  <si>
    <t>VITAMIN D3 2000 UNIT TAB</t>
  </si>
  <si>
    <t>ZONISAMIDE 100MG CAP</t>
  </si>
  <si>
    <t>acetaZOLMIDE 250MG TAB</t>
  </si>
  <si>
    <t>DIPHENHYDRAMINE 25MG CAP</t>
  </si>
  <si>
    <t>Title: Pharmaceutical Services - Potomac Center</t>
  </si>
  <si>
    <t>GLUCAGON 1MG VIAL KIT</t>
  </si>
  <si>
    <t>POTASSIUM CL 20MEQ ER TAB</t>
  </si>
  <si>
    <t>TWINRIX VACCINE SD-VIAL</t>
  </si>
  <si>
    <t>ADETAMINOPHEN/COD #3 TAB</t>
  </si>
  <si>
    <t>ADVAIR DISKUS 250/50MCG</t>
  </si>
  <si>
    <t>ALENDRONATE SOD 70MG TAB</t>
  </si>
  <si>
    <t>AMANTADINE 100MG CAP</t>
  </si>
  <si>
    <t>AMOX TR-K CLV 500-125MG TAB</t>
  </si>
  <si>
    <t>AMOX TR-K CLV 875-125MG TAB</t>
  </si>
  <si>
    <t>AMOXICILLIN 500MG CAP</t>
  </si>
  <si>
    <t>ARIPIPRAZOLE 10MG TAB</t>
  </si>
  <si>
    <t>ARIPIPRAZOLE 300MG TAB</t>
  </si>
  <si>
    <t>ARIPIPRAZOLE 5MG TAB</t>
  </si>
  <si>
    <t>AZELASTINE HCL 0.05% DROPS</t>
  </si>
  <si>
    <t>AZITHROMYCIN 250MG TAB</t>
  </si>
  <si>
    <t>AZITHROMYCIN 250MG Z-PAK TAB</t>
  </si>
  <si>
    <t>AZITHROMYCIN 500MG TAB</t>
  </si>
  <si>
    <t>BANZEL 200MG TAB</t>
  </si>
  <si>
    <t>BANZEL 400MG TAB</t>
  </si>
  <si>
    <t>BENZONATATE 100MG CAP</t>
  </si>
  <si>
    <t>BENZTROPINE MES 2MG TAB</t>
  </si>
  <si>
    <t>BOOSTRIX VACCINE (TDAP)</t>
  </si>
  <si>
    <t>CARBAMAZEPINE 100MG CHEW TAB</t>
  </si>
  <si>
    <t>CARNITOR 330MG TAB</t>
  </si>
  <si>
    <t>CEFUROXIME AXETIL 500MG TAB</t>
  </si>
  <si>
    <t>CEPHALEXIN 250MG/5ML SUSP</t>
  </si>
  <si>
    <t>CEPHALEXIN 500MG CAP</t>
  </si>
  <si>
    <t>CHLORHEXIDINE 0.12% RINSE</t>
  </si>
  <si>
    <t>CILOXAN 0.3% OINTMENT</t>
  </si>
  <si>
    <t>CIPRODEX OTIC SUSPENSION</t>
  </si>
  <si>
    <t>CIPROFLOXACINE 0.3% EYE DROP</t>
  </si>
  <si>
    <t>CLINDAMYCIN HCL 300MG CAP</t>
  </si>
  <si>
    <t>CLINDAMYCIN PHOS 1% PLEDGET</t>
  </si>
  <si>
    <t>CLOBETASOL 0.05% SOLUTION</t>
  </si>
  <si>
    <t>CLOBETASOL PROP 0.05% FOAM</t>
  </si>
  <si>
    <t>CLONAZEPAM 0.5MG TAB</t>
  </si>
  <si>
    <t>CLONAZEPAM 1MG TAB</t>
  </si>
  <si>
    <t>CLONIDINE HCL 0.1MG TAB</t>
  </si>
  <si>
    <t>CLONIDINE HCL 0.2MG TAB</t>
  </si>
  <si>
    <t>CLOTRIMAZOLE 1% CREAM</t>
  </si>
  <si>
    <t>CLOTRIMAZOLE/BETAMETH CREAM</t>
  </si>
  <si>
    <t>CLOZAPINE 100MG TAB</t>
  </si>
  <si>
    <t>CLOZAPINE 25MG TAB</t>
  </si>
  <si>
    <t>CYANOCOBALAMIN 1000MCG/ML</t>
  </si>
  <si>
    <t>DEPAKOTE 125MG SPRINKLE CAP</t>
  </si>
  <si>
    <t>DEPO-PROVERA 400MG/ML MDV</t>
  </si>
  <si>
    <t>DESMOPRESSIN ACET 0.2MG TAB</t>
  </si>
  <si>
    <t>DICLOFENAC SOD 75MG TAB EC</t>
  </si>
  <si>
    <t>DICLOFENAC SOD 1% GEL</t>
  </si>
  <si>
    <t>DICYCLOMINE 10MG CAP</t>
  </si>
  <si>
    <t>DIVALPROEX SOD 250MG TAB</t>
  </si>
  <si>
    <t>DIVALPROEX SOD 500MG TAB</t>
  </si>
  <si>
    <t>DOXEPIN 25MG CAP</t>
  </si>
  <si>
    <t>DOXEPIN 50MG CAP</t>
  </si>
  <si>
    <t>DOXEPIN 75MG CAP</t>
  </si>
  <si>
    <t>DOXYCYCLINE HYC 100MG CAPS</t>
  </si>
  <si>
    <t>ELFOLATE 15MG TAB</t>
  </si>
  <si>
    <t>ELIDEL 1% CREAM</t>
  </si>
  <si>
    <t>ELIGARD 7.5MG SYRINGE</t>
  </si>
  <si>
    <t>ENALAPRIL MAL 2.5MG TAB</t>
  </si>
  <si>
    <t>ENGERIX-B 20MCG/ML SD-SYR</t>
  </si>
  <si>
    <t>ENGERIX-B 20MCG/ML SD-VIAL</t>
  </si>
  <si>
    <t>ERYTHROMYCIN-BENZOYL 3-5%</t>
  </si>
  <si>
    <t>FLUCONAZOLE 100MG TAB</t>
  </si>
  <si>
    <t>FLUCONAZOLE 150MG TAB</t>
  </si>
  <si>
    <t>FLUOCINONIDE 0.05% CREAM</t>
  </si>
  <si>
    <t>FLUOCINONIDE 0.05% OINTMENT</t>
  </si>
  <si>
    <t>FLUOXETINE 10MG CAP</t>
  </si>
  <si>
    <t>FLUPHENAZINE 10MG TAB</t>
  </si>
  <si>
    <t>FLUPHENAZINE 2.5MG TAB</t>
  </si>
  <si>
    <t>FLUPHENAZINE 2.5MG/5ML ELIX</t>
  </si>
  <si>
    <t>FLUPHENAZINE 2.5MG/5ML MDV</t>
  </si>
  <si>
    <t>FLUPHENAZINE 2.5MG/ML VIA</t>
  </si>
  <si>
    <t>FLUPHENAZINE 5MG TAB</t>
  </si>
  <si>
    <t>FLUPHENAZINE DEC 25MG/ML MD</t>
  </si>
  <si>
    <t>FLUTICASONE 50MCG NASAL SPR</t>
  </si>
  <si>
    <t>GEMFIBROZIL 600MG TAB</t>
  </si>
  <si>
    <t>GLUCAGEN 1MG KIT</t>
  </si>
  <si>
    <t>GUANFACINE 1MG TAB</t>
  </si>
  <si>
    <t>HALOPERIDOL 10MG TAB</t>
  </si>
  <si>
    <t>HALOPERIDOL 2MG TAB</t>
  </si>
  <si>
    <t>HALOPERIDOL 5MG TAB</t>
  </si>
  <si>
    <t>HALOPERIDOL DEC 100MG/ML SD</t>
  </si>
  <si>
    <t>HCTZ 12.5MG CAP</t>
  </si>
  <si>
    <t>HALOPERIDOL DEC 50MG/MLSDV</t>
  </si>
  <si>
    <t>HCTZ 25MG TAB</t>
  </si>
  <si>
    <t>HEPARIN IV 10U/ML 3ML FLUSH</t>
  </si>
  <si>
    <t>HUMALOG 100U/ML KWIKPEN</t>
  </si>
  <si>
    <t>HUMALOG 100U/ML VIAL</t>
  </si>
  <si>
    <t>HYDROCHLOROTHIAZIDE 25MG</t>
  </si>
  <si>
    <t>HYDROCOD/APAP 5/325 TAB</t>
  </si>
  <si>
    <t>HYDROCOD/APAP 7.5-325 TAB</t>
  </si>
  <si>
    <t>HYDROCORTISONE BUTY 0.1% CR</t>
  </si>
  <si>
    <t>HYDROXYZINE HCL 25MG TAB</t>
  </si>
  <si>
    <t>HYDROXYZINE PAM 25MG CAP</t>
  </si>
  <si>
    <t>IBUPROFEN 800MG TAB</t>
  </si>
  <si>
    <t>INTROVALE 0.15-0.03 MG TAB</t>
  </si>
  <si>
    <t>KETOCONAZOLE 2% CREAM</t>
  </si>
  <si>
    <t>KETOCONAZOLE 2% SHAMPOO</t>
  </si>
  <si>
    <t>LACTULOSE 10GM/15ML SOLUTION</t>
  </si>
  <si>
    <t>LAMOTRIGINE 100MG TAB</t>
  </si>
  <si>
    <t>LAMOTRIGINE 150MG TAB</t>
  </si>
  <si>
    <t>LAMOTRIGINE 200MG TAB</t>
  </si>
  <si>
    <t>LAMOTRIGINE 25MG TAB</t>
  </si>
  <si>
    <t>LANSOPRAZOLE 30MG CAP</t>
  </si>
  <si>
    <t>LANTUS 100U/ML VIAL</t>
  </si>
  <si>
    <t>LANTUS SOLOSTAR 100U/ML SYR</t>
  </si>
  <si>
    <t>LEVOCARNITINE 330MG TAB</t>
  </si>
  <si>
    <t>LEVOFLOXACIN 500MG TAB</t>
  </si>
  <si>
    <t>LEVOFLOXACIN 750MG TAB</t>
  </si>
  <si>
    <t>LEVONO-E ESTRAD -.15-0.03-0</t>
  </si>
  <si>
    <t>LEVONOR-ETH ESTRAD 0.15-0.0</t>
  </si>
  <si>
    <t>LEVOTHYROXINE 0.025MG TB</t>
  </si>
  <si>
    <t>LEVOTHYROXINE 0.05MG TAB</t>
  </si>
  <si>
    <t>LEVOTHYROXINE 0.075MG TB</t>
  </si>
  <si>
    <t>LEVOTHYROXINE 0.088MG TB</t>
  </si>
  <si>
    <t>LEVOTHYROXINE 137MCG TAB</t>
  </si>
  <si>
    <t>LINZESS 145MCG CAPSULE</t>
  </si>
  <si>
    <t>LISINOPRIL 10MG TABLET</t>
  </si>
  <si>
    <t>LISINOPRIL 2.5MG TABLET</t>
  </si>
  <si>
    <t>LISINOPRIL 20MG TABLET</t>
  </si>
  <si>
    <t>LITHIUM CARB 300MG CAPS</t>
  </si>
  <si>
    <t>LITHIUM CARB 300MG CAPSULE</t>
  </si>
  <si>
    <t>LITHIUM CARB ER 300MG TABLET</t>
  </si>
  <si>
    <t>LITHIUM CARBONATE 150MG CAPSULE</t>
  </si>
  <si>
    <t>LITHIUM CARBONATE 300MG TABLET</t>
  </si>
  <si>
    <t>LITHIUM CARBONATE 600MG CAP</t>
  </si>
  <si>
    <t>LITHIUM ER 450MG TABLET</t>
  </si>
  <si>
    <t>LORAZEPAM 0.5MG TABLET</t>
  </si>
  <si>
    <t>LORAZEPAM 1MG TABLET</t>
  </si>
  <si>
    <t>LORAZEPAM 2MG TABLET</t>
  </si>
  <si>
    <t>LORAZEPAM 2MG/ML SDV VIAL</t>
  </si>
  <si>
    <t>LYRICA 100MG CAPSULE</t>
  </si>
  <si>
    <t>LYRICA 50MG CAPSULE</t>
  </si>
  <si>
    <t>MEDROXYPROGEST 150MG SYR</t>
  </si>
  <si>
    <t>MEDROXYPROGEST 150MG/ML SD</t>
  </si>
  <si>
    <t>MELOXICAM 15MG TABLET</t>
  </si>
  <si>
    <t>METFORMIN HCL 1000MG TAB</t>
  </si>
  <si>
    <t>METFORMIN HCL 500MG TAB</t>
  </si>
  <si>
    <t>METOCLOPRAMIDE 10MG TAB</t>
  </si>
  <si>
    <t>METOPROLOL 50MG TABLET</t>
  </si>
  <si>
    <t>METRONIDAZOLE 500MG TABLET</t>
  </si>
  <si>
    <t>MONTELUKAST SOD 10MG TAB</t>
  </si>
  <si>
    <t>MYRBETRIQ ER 25MG TABLET</t>
  </si>
  <si>
    <t>MYRBETRIQ ER 50MG TABLET</t>
  </si>
  <si>
    <t>NABUMETONE 500MG TABLET</t>
  </si>
  <si>
    <t>NAPROXEN 500MG TABLET</t>
  </si>
  <si>
    <t>NITROFURANTOIN MCR 50MG</t>
  </si>
  <si>
    <t>NOVOLOG 100U/ML VIAL</t>
  </si>
  <si>
    <t>NOVOLOG FLEXPEN SYRINGE</t>
  </si>
  <si>
    <t>OFLOXACIN 0.3% EYE DROPS</t>
  </si>
  <si>
    <t>OLANZAPINE 10MG TABLET</t>
  </si>
  <si>
    <t>OLANZAPINE 2.5MG TABLET</t>
  </si>
  <si>
    <t>OLANZAPINE 20MG TABLET</t>
  </si>
  <si>
    <t>OLANZAPINE 5MG TABLET</t>
  </si>
  <si>
    <t>OLANZAPINE 7.5MG TABLET</t>
  </si>
  <si>
    <t>OLANZAPINE ODT 10MG TABLET</t>
  </si>
  <si>
    <t>OLANZAPINE ODT 15MG TABLET</t>
  </si>
  <si>
    <t>OLANZAPINE ODT 20MG TABLET</t>
  </si>
  <si>
    <t>OMEPRAZOLE 20MG CAPS DR</t>
  </si>
  <si>
    <t>OMEPRAZOLE 40MG CAPSULE</t>
  </si>
  <si>
    <t>ONDANSETRON HCL 4 MG TABLET</t>
  </si>
  <si>
    <t>OXCARBAZEPINE 300MG TABS</t>
  </si>
  <si>
    <t>OXYBUTYNIN ER 10MG TAB</t>
  </si>
  <si>
    <t>OXYCODONE/APAP 5/325 TB</t>
  </si>
  <si>
    <t>OXYCONTIN 10MG TABLET SA</t>
  </si>
  <si>
    <t>PANTOPRAZOLE SOD 40MG TB</t>
  </si>
  <si>
    <t>PANTOPRAZOLE SOD 20MG TAB</t>
  </si>
  <si>
    <t>PENICILLIN VK 500MG TABLET</t>
  </si>
  <si>
    <t>PNEUMOVAX 23 S-DOSE VIAL</t>
  </si>
  <si>
    <t>POLYETHYLENE GLYCOL 527GM</t>
  </si>
  <si>
    <t>PREVIFEM TABLET</t>
  </si>
  <si>
    <t>PREVNAR 13 PREFILL-SYRINGE</t>
  </si>
  <si>
    <t>PROAIR HFA 90MCG INHALER</t>
  </si>
  <si>
    <t>PROMETHAZINE 25MG TABLET</t>
  </si>
  <si>
    <t>PROPRANOLOL 10MG TABLET</t>
  </si>
  <si>
    <t>PROPRANOLOL 80MG TABLET</t>
  </si>
  <si>
    <t>PROPRANOLOL LA 120MG CAP SA</t>
  </si>
  <si>
    <t>PROPRANOLOL LA 60MG CAPSULE</t>
  </si>
  <si>
    <t>PROPRANOLOL LA 80MG CAPSULE</t>
  </si>
  <si>
    <t>QUETIAPINE 100MG TABLET</t>
  </si>
  <si>
    <t>QUETIAPINE 200MG TABLET</t>
  </si>
  <si>
    <t>QUETIAPINE 300MG TABLET</t>
  </si>
  <si>
    <t>QUETIAPINE 400MG TABLET</t>
  </si>
  <si>
    <t>QUETIAPINE 50MG TABLET</t>
  </si>
  <si>
    <t>RISPERIDONE 1MG TABLET</t>
  </si>
  <si>
    <t>RISPERDAL CONSTA 50MG SYR</t>
  </si>
  <si>
    <t>RISPERIDONE 2MG TABLET</t>
  </si>
  <si>
    <t>RISPERIDONE 3MG TABLET</t>
  </si>
  <si>
    <t>RISPERIDONE 4MG TABLET</t>
  </si>
  <si>
    <t>RISPERIDONE M-TAB 2MG TAB</t>
  </si>
  <si>
    <t>RISPERIDONE ODT 4MG TABLET</t>
  </si>
  <si>
    <t>ROZEREM 8MG TABLET</t>
  </si>
  <si>
    <t>SAPHRIS 10MG SL-TB BLK-CHRY</t>
  </si>
  <si>
    <t>SERTRALINE HCL 100MG TABLET</t>
  </si>
  <si>
    <t>SERTRALINE HCL 25MG TAB</t>
  </si>
  <si>
    <t>SERTRALINE HCL 50MG TAB</t>
  </si>
  <si>
    <t>SIMVASTATIN 10MG TABLET</t>
  </si>
  <si>
    <t>SOD CHL 0.9% 10ML PF FLUSH</t>
  </si>
  <si>
    <t>SODIUM CHL 0.9% IRR 250ML</t>
  </si>
  <si>
    <t>SODIUM CHL 0.9% IRR BOTTLE</t>
  </si>
  <si>
    <t>SPRINTEC 28 DAY TABLET</t>
  </si>
  <si>
    <t>SULFAMETH-TMP 800/160MG TAB</t>
  </si>
  <si>
    <t>TAMSULOSIN HCL 0.4MG CAP</t>
  </si>
  <si>
    <t>TENIVAC (TETANUS-DIP) SDV</t>
  </si>
  <si>
    <t>TERAZOSIN 2MG CAPSULE</t>
  </si>
  <si>
    <t>TETANUS/DIPHTHERIA SD-VIAL</t>
  </si>
  <si>
    <t>TOBRAMYCIN-DEXAMETH DROPS</t>
  </si>
  <si>
    <t>TOPIRAMATE 100MG TABLET</t>
  </si>
  <si>
    <t>TOPIRAMATE 200MG TABLET</t>
  </si>
  <si>
    <t>TOPIRAMATE 25MG TABLET</t>
  </si>
  <si>
    <t>TOPIRAMATE 500MG TABLET</t>
  </si>
  <si>
    <t>TRAMADOL HCL 50MG TABLET</t>
  </si>
  <si>
    <t>TRESIBA FLEXTOUCH 100UNITS</t>
  </si>
  <si>
    <t>TRIAMCINOLONE 0.025% CREAM</t>
  </si>
  <si>
    <t>TRIAMCINOLONE 0.1% CREAM</t>
  </si>
  <si>
    <t>TRIAMCINOLONE 0.1% OINTMENT</t>
  </si>
  <si>
    <t>TWINRIX VACCINE SYRINGE</t>
  </si>
  <si>
    <t>UREA 40% CREAM 85-GRAM</t>
  </si>
  <si>
    <t>VALPROIC ACID 250 MG/5 ML S</t>
  </si>
  <si>
    <t>VENTOLIN HFA 90MCG INHALER</t>
  </si>
  <si>
    <t>VITAMIN D2 50000IU CAPS RX</t>
  </si>
  <si>
    <t>ZOLPIDEM 5MG TABLET</t>
  </si>
  <si>
    <t>Title: Pharmaceutical Services - RICA - Baltimore</t>
  </si>
  <si>
    <t>ARIPIPRAZOLE 20MG TAB</t>
  </si>
  <si>
    <t>ARIPIPRAZOLE 2MG TAB</t>
  </si>
  <si>
    <t>ARIPIPRAZOLE 30MG TAB</t>
  </si>
  <si>
    <t>ATOMOXETINE 25MG CAP</t>
  </si>
  <si>
    <t>ATOMOXETINE 40MG CAP</t>
  </si>
  <si>
    <t>ATOMOXETINE 60MG CAP</t>
  </si>
  <si>
    <t>BUPROPION HCL SR 100MG TAB</t>
  </si>
  <si>
    <t xml:space="preserve">CETIRIZINE 10MG  </t>
  </si>
  <si>
    <t>CHLORPROMAZINE 25MG TAB</t>
  </si>
  <si>
    <t>CHLORPROMAZINE 50MG TAB</t>
  </si>
  <si>
    <t>CLINDAMYCIN 300MG CAP</t>
  </si>
  <si>
    <t>DESMOPRESSIN ACETATE 0.2MG TAB</t>
  </si>
  <si>
    <t>DIPHENHYDRAMINE 50MG CAP</t>
  </si>
  <si>
    <t>DIVALPROEX 500MG TAB</t>
  </si>
  <si>
    <t>DULOXETINE 20MG CAP</t>
  </si>
  <si>
    <t>escitalopram 10MG TAB</t>
  </si>
  <si>
    <t>escitalopram 20MG TAB</t>
  </si>
  <si>
    <t>FAMOTIDINE 20MG TAB</t>
  </si>
  <si>
    <t>FLUOXETINE HCL 40MG CAP</t>
  </si>
  <si>
    <t>FLUOXETINE HCL 10MG CAP</t>
  </si>
  <si>
    <t>GUANFACINE ER 1MG</t>
  </si>
  <si>
    <t>GUANFACINE ER 2MG</t>
  </si>
  <si>
    <t>GUANFACINE ER 3MG</t>
  </si>
  <si>
    <t>GUANFACINE ER 4MG</t>
  </si>
  <si>
    <t>GUANFACINE HCL 1MG TAB</t>
  </si>
  <si>
    <t>HYDROXYZINE PAMOATE 25MG CAP</t>
  </si>
  <si>
    <t>hydrOXYzine Pamoate 50MG CAP</t>
  </si>
  <si>
    <t>IBUPROFEN 200MG TAB</t>
  </si>
  <si>
    <t>LITHIUM CARBONATE ER 300MG TAB</t>
  </si>
  <si>
    <t>LITHIUM CARBONATE ER 450MG TAB</t>
  </si>
  <si>
    <t>MELATONIN 5MG TAB</t>
  </si>
  <si>
    <t>METHYLPHENIDATE HCL 5MG TAB</t>
  </si>
  <si>
    <t>METHYLPHENIDATE 10MG TAB</t>
  </si>
  <si>
    <t>METHYLPHENIDATE ER 54MG TAB</t>
  </si>
  <si>
    <t>METHYLPHENIDATE ER 27MG TAB</t>
  </si>
  <si>
    <t>METHYLPHENIDATE ER 36MG TAB</t>
  </si>
  <si>
    <t>METHYLPHENIDATE HCL ER 18MG</t>
  </si>
  <si>
    <t>MIRTAZAPINE 15MG TAB</t>
  </si>
  <si>
    <t>MODAFINIL 200MG TAB</t>
  </si>
  <si>
    <t>MONTELUKAST 5MG TAB</t>
  </si>
  <si>
    <t>MULTIVITAMIN TAB</t>
  </si>
  <si>
    <t>OLANZAPINE 2.5MG TAB</t>
  </si>
  <si>
    <t>OLANZAPINE 5MG TAB</t>
  </si>
  <si>
    <t>PERPHENAZINE 2MG TAB</t>
  </si>
  <si>
    <t>PRAZOSIN HCL 1MG CAP</t>
  </si>
  <si>
    <t>PRAZOSIN HCL 2MG CAP</t>
  </si>
  <si>
    <t>QUETIAPINE 200MG TAB</t>
  </si>
  <si>
    <t>QUETIAPINE 25MG TAB</t>
  </si>
  <si>
    <t>QUETIAPINE 50MG TAB</t>
  </si>
  <si>
    <t>QUETIAPINE ER 150MG TAB</t>
  </si>
  <si>
    <t>RISPERIDONE 0.25MG TAB</t>
  </si>
  <si>
    <t>RISPERIDONE 0.5MG TAB</t>
  </si>
  <si>
    <t>RISPERIDONE 1MG TAB</t>
  </si>
  <si>
    <t>RISPERIDONE 2MG TAB</t>
  </si>
  <si>
    <t>SERTRALINE 25MG TAB</t>
  </si>
  <si>
    <t>TRAZODONE 150MG TAB</t>
  </si>
  <si>
    <t>VYVANSE 30MG CAP</t>
  </si>
  <si>
    <t>VYVANSE 40MG CAP</t>
  </si>
  <si>
    <t>VYVANSE 60MG CAP</t>
  </si>
  <si>
    <t>ZIPRASIDONE 20MG CAP</t>
  </si>
  <si>
    <t>ZIPRASIDONE 40MG CAP</t>
  </si>
  <si>
    <t>Title: Pharmaceutical Services - RICA - Rockville</t>
  </si>
  <si>
    <t>ARIPIPRAZOLE 15MG TAB</t>
  </si>
  <si>
    <t>BUPROPION XL XL 300MG TAB</t>
  </si>
  <si>
    <t>BUSPIRONE HCL 10MG TAB</t>
  </si>
  <si>
    <t>BUSPIRONE HCL 15MG TAB</t>
  </si>
  <si>
    <t>BUSPIRONE HCL 5MG TAB</t>
  </si>
  <si>
    <t>calc carb (500mg elem) 1250mg</t>
  </si>
  <si>
    <t>CALCIUM 600MG TAB</t>
  </si>
  <si>
    <t>CETIRIZINE 10MG</t>
  </si>
  <si>
    <t>DULOXETINE 60MG CAP</t>
  </si>
  <si>
    <t>ESCITALOPRAM 5MG TAB</t>
  </si>
  <si>
    <t>FLUOXETINE 40MG CAP</t>
  </si>
  <si>
    <t>FLUOXETINE HCL 60MG TAB</t>
  </si>
  <si>
    <t>LATUDA 20MG TAB</t>
  </si>
  <si>
    <t>LATUDA 40MG TAB</t>
  </si>
  <si>
    <t>LITHIUM CARBONATE 150MG CAP</t>
  </si>
  <si>
    <t>LITHIUM CARBONATE 600MG TAB</t>
  </si>
  <si>
    <t>multivitamine plus iron</t>
  </si>
  <si>
    <t>olanzapine ZYDIS 5MG TAB</t>
  </si>
  <si>
    <t>ONE DAILY WOMEN'S TAB</t>
  </si>
  <si>
    <t>OXCARBAZEPINE 150MG TAB</t>
  </si>
  <si>
    <t>PROPRANOLOL HCL 10MG TAB</t>
  </si>
  <si>
    <t>topiramate 200MG TAB</t>
  </si>
  <si>
    <t>VITAMINE D3 1000 UNIT TAB</t>
  </si>
  <si>
    <t>Title: Pharmaceutical Services - Western Maryland Hospital Center</t>
  </si>
  <si>
    <t>ALPRAZolam 0.25MG TAB</t>
  </si>
  <si>
    <t>ATENOLOL 25MG TAB</t>
  </si>
  <si>
    <t>ATORVASTATIN 80MG TAB</t>
  </si>
  <si>
    <t>BUPROPION HCL 100MG TAB</t>
  </si>
  <si>
    <t>CARVEDILOL 25MG TAB</t>
  </si>
  <si>
    <t>CLOPIDOGREL 75MG TAB</t>
  </si>
  <si>
    <t>DANTROLENE 100MG CAP</t>
  </si>
  <si>
    <t>DIAZEPAM 2MG TAB</t>
  </si>
  <si>
    <t>FINASTERIDE 5MG TAB</t>
  </si>
  <si>
    <t>FOLIC ACID 0.4MG TAB</t>
  </si>
  <si>
    <t xml:space="preserve">LISINOPRIL 10MG TAB </t>
  </si>
  <si>
    <t>LISINOPRIL 5MG TAB</t>
  </si>
  <si>
    <t>MELATONIN 3 MG TAB</t>
  </si>
  <si>
    <t>METHENAMINE HIPPURATE 1GM TAB</t>
  </si>
  <si>
    <t>MIDODRINE 10MG TAB</t>
  </si>
  <si>
    <t>ONDANSETRAN 4MG TAB</t>
  </si>
  <si>
    <t>PRAVASTATIN 20MG TAB</t>
  </si>
  <si>
    <t>PRIMIDONE 50MG TAB</t>
  </si>
  <si>
    <t>PROTONIX 40MG SUSPDR PKT</t>
  </si>
  <si>
    <t>TIAGABINE 2MG TAB</t>
  </si>
  <si>
    <t>TIZANIDINE HCL 4MG TAB</t>
  </si>
  <si>
    <t>TOTAL ANNUAL BID PRICE BASED ON ESTIMATED QUANTITIES</t>
  </si>
  <si>
    <t>APLRAZOLAM 1MG TAB</t>
  </si>
  <si>
    <t>AMANTADINE HCL 100MG **TAB</t>
  </si>
  <si>
    <t>ASCORBIS ACID 500MG TAB</t>
  </si>
  <si>
    <t>carBAMazePINE ER 200MG Cap</t>
  </si>
  <si>
    <t>CELECOXIB 200MG CAP</t>
  </si>
  <si>
    <t>CERTAGEN SR/SILVER TAB</t>
  </si>
  <si>
    <t>CHILORPROMAZINE 50MG TAB</t>
  </si>
  <si>
    <t>DIVALPROEX 250MG  TAB DR</t>
  </si>
  <si>
    <t>DIVALPROEX ER  250MG TAB- ER</t>
  </si>
  <si>
    <t>ESCITALOPRAM 2MG TAB</t>
  </si>
  <si>
    <t>fexofenadine 180MG TAB</t>
  </si>
  <si>
    <t>FLORANEX TABLET</t>
  </si>
  <si>
    <t>HYDROXYZINE HCL 500MG TAB</t>
  </si>
  <si>
    <t>ISOSORBIDE MONO ER 30MG TAB</t>
  </si>
  <si>
    <t>LEVETIRACETAM 100MCG MG TAB</t>
  </si>
  <si>
    <t>LEVETIRACETAM 112MCG TAB</t>
  </si>
  <si>
    <t>LISINOPRIL 2.5MG TAB</t>
  </si>
  <si>
    <t>LISINOPRIL 20MG TAB</t>
  </si>
  <si>
    <t>LORazepam 0.5MG TAB</t>
  </si>
  <si>
    <t>LORazepam 1MG TAB</t>
  </si>
  <si>
    <t>MONTELUKAST 10MG TAB</t>
  </si>
  <si>
    <t>NEXIUM susp pkts 40MG pkt</t>
  </si>
  <si>
    <t>OLANZAPINE 20MG TAB</t>
  </si>
  <si>
    <t>OLANZAPINE 7.5MG TAB</t>
  </si>
  <si>
    <t>OLANZAPINE ODT 10MG TAB</t>
  </si>
  <si>
    <t>OMEPRAZOLE 40MG CAP</t>
  </si>
  <si>
    <t>OYS SHELL 250-125 TAB</t>
  </si>
  <si>
    <t>OYSTER SHELL 500MG-200 TAB</t>
  </si>
  <si>
    <t>PAROXETINE HCL 40MG TAB</t>
  </si>
  <si>
    <t>RISPERIDONE  0.5MG TAB</t>
  </si>
  <si>
    <t>RISPERIDONE  1MG TAB</t>
  </si>
  <si>
    <t>SIMVASTATIN 40MG TAB</t>
  </si>
  <si>
    <t>SIMVASTATIN 5G TAB</t>
  </si>
  <si>
    <t>VITAMIN D "50,000" UNITS CAP</t>
  </si>
  <si>
    <t>ALPRAZOLAM XR 0.5MG TAB</t>
  </si>
  <si>
    <t>adderall xr (BRAND) 10MG CAP</t>
  </si>
  <si>
    <t>adderall xr (BRAND) 20MG CAP</t>
  </si>
  <si>
    <t>adderall xr (BRAND) 25MG CAP</t>
  </si>
  <si>
    <t>amLODIPine 2.5mg tab</t>
  </si>
  <si>
    <t>ATOMOXETINE 10MG CAP</t>
  </si>
  <si>
    <t>BUPROPION HCL SR 150MG TAB</t>
  </si>
  <si>
    <t>BUPROPION XL XL XL 150MG TAB</t>
  </si>
  <si>
    <t>CITALOPRAM 40MG TAB</t>
  </si>
  <si>
    <t>CLOZAPINE 50MG TAB</t>
  </si>
  <si>
    <t>DEXMETHYLPH TAB 5MG</t>
  </si>
  <si>
    <t>DEXMETHYLPHEN ER 20MG CAP</t>
  </si>
  <si>
    <t>DEXMETHYLPHENIDATE 10MG TAB</t>
  </si>
  <si>
    <t>DIVALPROEX ER 250MG TAB</t>
  </si>
  <si>
    <t>DIVALPROEX ER 500MG TAB - ER</t>
  </si>
  <si>
    <t>ESCITALOPRAM 10MG TAB</t>
  </si>
  <si>
    <t>ESCITALOPRAM 20MG TAB</t>
  </si>
  <si>
    <t>hydroXYZINE HCL 25MG TAB</t>
  </si>
  <si>
    <t>LATUDA 80MG TAB</t>
  </si>
  <si>
    <t>METHYLPHENIDATE (CD) 10 MG CAP</t>
  </si>
  <si>
    <t>METHYLPHENIDATE (CD) 30MG CAP</t>
  </si>
  <si>
    <t>METHYLPHENIDATE HCL 10MG TAB</t>
  </si>
  <si>
    <t>NAPROXEN 500MG TAB</t>
  </si>
  <si>
    <t>OLANZapine 2.5MG TAB</t>
  </si>
  <si>
    <t>OLANZapine 7.5MG TAB</t>
  </si>
  <si>
    <t>QUIETIAPINE 25MG TAB</t>
  </si>
  <si>
    <t>QUIETIAPINE 300MG TAB</t>
  </si>
  <si>
    <t>QUIETIAPINE 50MG TAB</t>
  </si>
  <si>
    <t>QUETIAPINE ER 300MG TAB ER</t>
  </si>
  <si>
    <t>QUIETIAPINE ER 50MG TAB</t>
  </si>
  <si>
    <t>SULFAMETH/TRIM 800-160MG TAB</t>
  </si>
  <si>
    <t>TOPIRAMATE 100MG TAB</t>
  </si>
  <si>
    <t>TOPIRAMATE 25MG TAB</t>
  </si>
  <si>
    <t>topiramate 50MG TAB</t>
  </si>
  <si>
    <t>VITAMINE D3 400 UNIT TAB</t>
  </si>
  <si>
    <t>VITRON C TAB</t>
  </si>
  <si>
    <t>VYVANSE 20MG CAP</t>
  </si>
  <si>
    <t>VYVANSE 50MG CAP</t>
  </si>
  <si>
    <t>VYVANSE 70MG CAP</t>
  </si>
  <si>
    <t>ZIPRASIDONE 60MG CAP</t>
  </si>
  <si>
    <t>ACETAMIN elixir 160 mg/5ML ML</t>
  </si>
  <si>
    <t>ACYCLOVIR 400MG TAB</t>
  </si>
  <si>
    <t>AMANTADINE HCL 50MG/5ML SYRUP</t>
  </si>
  <si>
    <t>amLODIPine 5.0MG TAB</t>
  </si>
  <si>
    <t>ARTHRITIS STR ACETAM 650MG TAB</t>
  </si>
  <si>
    <t>ARTIFICIAL TEARS OPTH SOLN</t>
  </si>
  <si>
    <t>ASPIRIN 325MG EC TAB (ENTERIC)</t>
  </si>
  <si>
    <t>AZATHIOPRINE 50MG TAB</t>
  </si>
  <si>
    <t>BACITRACIN OINT GM</t>
  </si>
  <si>
    <t>BAZA AF MOIST CRM (142gm)</t>
  </si>
  <si>
    <t>BAZA PROTECTANT CRM (142GM)</t>
  </si>
  <si>
    <t>BISACODYL 10MG SUPP</t>
  </si>
  <si>
    <t>BUDESONIDE 0.5MG/2ML INH SUSP</t>
  </si>
  <si>
    <t>BUDESONIDE INH 0.5MG/2ML SUSP</t>
  </si>
  <si>
    <t>CAL CARB PLUS D 600MG-200 TAB</t>
  </si>
  <si>
    <t>CALCIUM CARBONATE 648MG TAB</t>
  </si>
  <si>
    <t>CALCIUM SUSP 500/5 ELEM  1250M</t>
  </si>
  <si>
    <t>CARAFATE SUSP 1GM/10ML ML</t>
  </si>
  <si>
    <t>CERTAGEN TAB</t>
  </si>
  <si>
    <t>CHLORHEXIDINE ORAL RINSE .12%</t>
  </si>
  <si>
    <t>CHOLESTYRAMINE 4G PKT</t>
  </si>
  <si>
    <t>CIPROFLOX 400MG/200ML PREMIX</t>
  </si>
  <si>
    <t>CLOTRIM/BETAM 1-0.05% CRM GM</t>
  </si>
  <si>
    <t>CRANBERRY CAPSULES</t>
  </si>
  <si>
    <t>CYCLOBENZAPRINE 10MG TAB</t>
  </si>
  <si>
    <t>DESITIN MAX STR 40% CREAM</t>
  </si>
  <si>
    <t>DEXTROSE 70% IV SOLN</t>
  </si>
  <si>
    <t>DICLOFENAC 1.5% SOLN</t>
  </si>
  <si>
    <t>DILTIAZEM HCL 120MG TAB</t>
  </si>
  <si>
    <t>DOCUSATE 50MG/5ML LIQUID</t>
  </si>
  <si>
    <t>DOXYCYCLINE HYCLATE 100MG CAP</t>
  </si>
  <si>
    <t>FAMOTIDINE 40MG/5 ML ORAL SUSP</t>
  </si>
  <si>
    <t>FERROUS SULFATE 220MG/5ML ELIX</t>
  </si>
  <si>
    <t>FLUTICASONE NASAL SPRAY 50MCG</t>
  </si>
  <si>
    <t>GUAIFENESIN 100MG/5ML SYRUP</t>
  </si>
  <si>
    <t>GUAIFENESIN-DEXTROM 100-10MG/5</t>
  </si>
  <si>
    <t>HEPARIN 5,000 UNIT/ML INJECT</t>
  </si>
  <si>
    <t>hydrALAZine 25MG TAB</t>
  </si>
  <si>
    <t>hydrALAZine 50MG TAB</t>
  </si>
  <si>
    <t>HYDROCORTISONE 20MG TAB</t>
  </si>
  <si>
    <t>HYDROPHOR/DERMAPHOR OINT GM</t>
  </si>
  <si>
    <t>HYDROXYCHLOROQUINE 200MG TAB</t>
  </si>
  <si>
    <t>II- SODIUM CHLORIDE 0.9% PB</t>
  </si>
  <si>
    <t>ii sodium chloride inj 0.09%</t>
  </si>
  <si>
    <t>INFUVITE INJ</t>
  </si>
  <si>
    <t>INSULIN LANTUS 100 UNITS/ML M</t>
  </si>
  <si>
    <t>INTRALIPIDS</t>
  </si>
  <si>
    <t>IPRATROP/ALBUT 0.5MG-3MG ML</t>
  </si>
  <si>
    <t>KETOCONAZOLE SHAMPOO 2% ML</t>
  </si>
  <si>
    <t>LACTULOSE SOLN 10 G/15 ML ML</t>
  </si>
  <si>
    <t>LEVALBUTEROL 0.63MG/3ML NEB</t>
  </si>
  <si>
    <t>LEVALBUTEROL 1.25MG/3ML NEB</t>
  </si>
  <si>
    <t>LEVEMIR 100UNITS/ML ml</t>
  </si>
  <si>
    <t>LEVETIRACETAM 100MG/ML SOLN</t>
  </si>
  <si>
    <t>LEVOTHYROXINE 75MCG TAB</t>
  </si>
  <si>
    <t>LOPERAMIDE LIQUID 1MG/5ML</t>
  </si>
  <si>
    <t>LOSARTAN 25MG TAB</t>
  </si>
  <si>
    <t>LOSARTAN 50MG TAB</t>
  </si>
  <si>
    <t>MAG/AL/SIM SUSP ML</t>
  </si>
  <si>
    <t>MEGESTEROL SUSP 40MG/ML ML</t>
  </si>
  <si>
    <t>METFORMIN ER 1000MG ER TAB</t>
  </si>
  <si>
    <t>METHIMAZOLE 5MG TAB</t>
  </si>
  <si>
    <t>METOCLOPRAMIDE 5MG/5ML SOLN</t>
  </si>
  <si>
    <t>METRONID 500MG/100NACL PREMIX</t>
  </si>
  <si>
    <t>MILK OF MAGNESIA SUSP</t>
  </si>
  <si>
    <t>MULTI VITE LIQUID</t>
  </si>
  <si>
    <t>MUPIROCIN 2% OINT</t>
  </si>
  <si>
    <t>NASAL SPRAY 0.65% ml</t>
  </si>
  <si>
    <t>NYSTATIN 100000 UNITS/ML SUSP</t>
  </si>
  <si>
    <t>NYSTATIN 1000000UNIT/GM POWDER</t>
  </si>
  <si>
    <t>NYSTATIN CREAM</t>
  </si>
  <si>
    <t>ONDANSETRON ODT 4MG TAB</t>
  </si>
  <si>
    <t>OXYCODONE 10MG TAB</t>
  </si>
  <si>
    <t>OXYCODONE/APAP 5/325MG TAB</t>
  </si>
  <si>
    <t>OXYCONTIN 15 MG TAB</t>
  </si>
  <si>
    <t>PHENOBARBITAL 20MG/5ML ML</t>
  </si>
  <si>
    <t>PHENYTOIN SUSP 125MG/5ML ML</t>
  </si>
  <si>
    <t>PIPERACIL-TAZOBACT 3.375G VIAL</t>
  </si>
  <si>
    <t>POLYETHYLENE GLYCOL 3350 PWD</t>
  </si>
  <si>
    <t>POTASSIUM CHLORIDE 10% SOLN</t>
  </si>
  <si>
    <t>PREDNISONE 20MG TAB</t>
  </si>
  <si>
    <t>PREDNISONE 10MG TAB</t>
  </si>
  <si>
    <t>RANITIDINE 75MG/5ML SYRUP</t>
  </si>
  <si>
    <t>SIMETHICONE 80MG TAB</t>
  </si>
  <si>
    <t>topiramate 25MG TAB</t>
  </si>
  <si>
    <t>TPN MAG SULF 50% INJ</t>
  </si>
  <si>
    <t>TPN POTASSIUM CHL 2MEQ/ML INJ</t>
  </si>
  <si>
    <t>TPN-CALC GLUCONATE 10% INJ</t>
  </si>
  <si>
    <t>TPN-SOD ACET 2MEQ/ML INJ</t>
  </si>
  <si>
    <t>TPN-SOD CHL 23.4%</t>
  </si>
  <si>
    <t>TPN-SOD PHOS 3MMOL/ML</t>
  </si>
  <si>
    <t>TPN-STERILE WATER INJ</t>
  </si>
  <si>
    <t>VALPROIC ACID 250MG/5ML SYRUP</t>
  </si>
  <si>
    <t>VANCOMYCIN 1000MG (1GM)</t>
  </si>
  <si>
    <t>VENLAFAXINE XR 75MG CAP</t>
  </si>
  <si>
    <t>VIMPAT ORAL SOLUTION 10MG/ML</t>
  </si>
  <si>
    <t>VITAMIN B COMPLEX WITH C CAPL</t>
  </si>
  <si>
    <t>XIFAXAN 550 MG TAB</t>
  </si>
  <si>
    <t>ZINC CHLORIDE 1 MG/ML VIAL</t>
  </si>
  <si>
    <t>QUANTITY DISPENSED</t>
  </si>
  <si>
    <t>AAC X 1 UNIT QUANTITY</t>
  </si>
  <si>
    <t>MONTHLY ADMINISTRATIVE COST</t>
  </si>
  <si>
    <t>X 12 MONTHS</t>
  </si>
  <si>
    <t xml:space="preserve"> </t>
  </si>
  <si>
    <t>Basis of Award</t>
  </si>
  <si>
    <t>A</t>
  </si>
  <si>
    <t>B</t>
  </si>
  <si>
    <t>C</t>
  </si>
  <si>
    <t>TOTAL ANNUAL COST TO STATE (A+ B)</t>
  </si>
  <si>
    <t>FIVE YEAR TOTAL OF DRUGS AND ADMINISTRATIVE COSTS (C x 5)</t>
  </si>
  <si>
    <t>Telephone Number:</t>
  </si>
  <si>
    <t>Email Address:</t>
  </si>
  <si>
    <t>Bidder Company Name:</t>
  </si>
  <si>
    <t>Bidder Company Address:</t>
  </si>
  <si>
    <t>Location(s) from which goods/services will be provided/performed (City, State):</t>
  </si>
  <si>
    <t>Deer's Head Hospital Center</t>
  </si>
  <si>
    <t>Holly Center</t>
  </si>
  <si>
    <t>Potomac Center</t>
  </si>
  <si>
    <t>RICA - Baltimore</t>
  </si>
  <si>
    <t>RICA - Rockville</t>
  </si>
  <si>
    <t>Western Maryland Hospital Center</t>
  </si>
  <si>
    <t>Excel File Instructions</t>
  </si>
  <si>
    <t>Please read Attachment B of IBF - Bid Instructions &amp; Form</t>
  </si>
  <si>
    <t>While not a complete list of all of the drugs used,</t>
  </si>
  <si>
    <t>listed drugs will allow comparison of pricing for award.</t>
  </si>
  <si>
    <t>Represents the top brand name, generic name and over-the-counter</t>
  </si>
  <si>
    <t>products prescribed and distributed at the Facility.  The dosage/unit or</t>
  </si>
  <si>
    <t>measurement is also listed in this column.</t>
  </si>
  <si>
    <t>Represents the amount of drugs used by the Facility in a prior one-year</t>
  </si>
  <si>
    <t xml:space="preserve">time period.  These numbers are used as a basis to calculate the award </t>
  </si>
  <si>
    <t xml:space="preserve">for each Facility and does ot represent any minimum or maximum </t>
  </si>
  <si>
    <t>guaranteed amounts that will be used by the Facility over the Contract</t>
  </si>
  <si>
    <t>Term.</t>
  </si>
  <si>
    <t>(As of January 1, 2019)</t>
  </si>
  <si>
    <t>The Bidders are to enter their Actual Acquisition Cost for each drug</t>
  </si>
  <si>
    <t>specified in Column A in the quanitty of one unit per amount listed in</t>
  </si>
  <si>
    <t>Column C.  To evidence the accuracy of the prices on this Excel file,</t>
  </si>
  <si>
    <t>the Bidder shall provide copies of actual invoices showing that the</t>
  </si>
  <si>
    <t>prices entered on this Excel file are the prices charged to the Bidder by</t>
  </si>
  <si>
    <t>the Bidder's supplier as of January 1, 2019.  If a Bidder has not purchased</t>
  </si>
  <si>
    <t>a drug listed on these Bid Pages they may submit a quote from their</t>
  </si>
  <si>
    <t>supplier in place of an invoice.</t>
  </si>
  <si>
    <t>This Excel file will automatically calculate the total based on the unit</t>
  </si>
  <si>
    <t>cost the Bidder prices in Column E.</t>
  </si>
  <si>
    <t>Total Annual Bid Price Based on Estimated Quantities - A</t>
  </si>
  <si>
    <t>The totals for brand name, generic and over-the-counter drugs will be</t>
  </si>
  <si>
    <t>automatically populated by this Excel file based on the costs the Bidder</t>
  </si>
  <si>
    <t>has entered in Column E.</t>
  </si>
  <si>
    <t>The monthly Administrative Cost to the Facility as defined in this IFB.</t>
  </si>
  <si>
    <t>Line 112:</t>
  </si>
  <si>
    <t>Line 113:  Monthly Administrative Cost - B</t>
  </si>
  <si>
    <t>Column A:  Drug Name</t>
  </si>
  <si>
    <t>Column C:  Quantity Dispensed</t>
  </si>
  <si>
    <t>Column E:  Actual Acquisition Cost</t>
  </si>
  <si>
    <t>Column G:  Total Annual Bid Price</t>
  </si>
  <si>
    <t>The Total Annual Bid Price Based on Estimated Quantities plus the</t>
  </si>
  <si>
    <t>Line 115:  Total Annual Cost to the State - C</t>
  </si>
  <si>
    <t>D</t>
  </si>
  <si>
    <t xml:space="preserve"> Five Year Total of Drugs and Administrative Costs - D</t>
  </si>
  <si>
    <t>The Total Annual Cost to the State multipled by 5 (contract term = 5 yrs)</t>
  </si>
  <si>
    <t>Total of the Monthly Administrative Cost multipled by 12 (months in year).</t>
  </si>
  <si>
    <t>Line 117: BASIS OF AWARD</t>
  </si>
  <si>
    <t>MDH/OPASS #: 20-18592</t>
  </si>
  <si>
    <t>MDH/OPASS #:20-18592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</si>
</sst>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10409]0.##"/>
    <numFmt numFmtId="165" formatCode="&quot;$&quot;#,##0.00"/>
    <numFmt numFmtId="166" formatCode="&quot;$&quot;#,##0.00000"/>
    <numFmt numFmtId="167" formatCode="#,##0.000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Calibri"/>
      <family val="2"/>
    </font>
    <font>
      <b/>
      <sz val="18"/>
      <color rgb="FF000000"/>
      <name val="Times New Roman"/>
      <family val="1"/>
    </font>
    <font>
      <b/>
      <sz val="16"/>
      <color rgb="FF000000"/>
      <name val="Calibri"/>
      <family val="2"/>
    </font>
    <font>
      <sz val="16"/>
      <color rgb="FF000000"/>
      <name val="Times New Roman"/>
      <family val="1"/>
    </font>
    <font>
      <sz val="16"/>
      <color rgb="FF000000"/>
      <name val="Calibri"/>
      <family val="2"/>
    </font>
    <font>
      <sz val="14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sz val="14"/>
      <color rgb="FF00B050"/>
      <name val="Times New Roman"/>
      <family val="1"/>
    </font>
    <font>
      <sz val="11"/>
      <color rgb="FF00B050"/>
      <name val="Calibri"/>
      <family val="2"/>
    </font>
    <font>
      <sz val="11"/>
      <color rgb="FF00B050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1"/>
      <color rgb="FF375623"/>
      <name val="Times New Roman"/>
      <family val="1"/>
    </font>
    <font>
      <sz val="11"/>
      <color rgb="FF375623"/>
      <name val="Calibri"/>
      <family val="2"/>
    </font>
    <font>
      <sz val="11"/>
      <color rgb="FF548235"/>
      <name val="Times New Roman"/>
      <family val="1"/>
    </font>
    <font>
      <sz val="11"/>
      <color rgb="FF548235"/>
      <name val="Calibri"/>
      <family val="2"/>
    </font>
    <font>
      <sz val="14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BFBFB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113">
    <xf numFmtId="0" fontId="0" fillId="0" borderId="0" xfId="0"/>
    <xf numFmtId="166" fontId="1" fillId="5" borderId="8" xfId="1" applyNumberFormat="1" applyFill="1" applyBorder="1" applyProtection="1">
      <protection locked="0"/>
    </xf>
    <xf numFmtId="166" fontId="1" fillId="5" borderId="9" xfId="1" applyNumberFormat="1" applyFill="1" applyBorder="1" applyProtection="1">
      <protection locked="0"/>
    </xf>
    <xf numFmtId="166" fontId="26" fillId="6" borderId="6" xfId="1" applyNumberFormat="1" applyFont="1" applyFill="1" applyBorder="1" applyProtection="1">
      <protection locked="0"/>
    </xf>
    <xf numFmtId="166" fontId="26" fillId="6" borderId="9" xfId="1" applyNumberFormat="1" applyFont="1" applyFill="1" applyBorder="1" applyProtection="1">
      <protection locked="0"/>
    </xf>
    <xf numFmtId="166" fontId="13" fillId="5" borderId="6" xfId="0" applyNumberFormat="1" applyFont="1" applyFill="1" applyBorder="1" applyAlignment="1" applyProtection="1">
      <alignment horizontal="center" vertical="top" wrapText="1" readingOrder="1"/>
      <protection locked="0"/>
    </xf>
    <xf numFmtId="167" fontId="6" fillId="5" borderId="9" xfId="0" applyNumberFormat="1" applyFont="1" applyFill="1" applyBorder="1" applyAlignment="1" applyProtection="1">
      <alignment horizontal="center" wrapText="1"/>
      <protection locked="0"/>
    </xf>
    <xf numFmtId="167" fontId="6" fillId="5" borderId="0" xfId="0" applyNumberFormat="1" applyFont="1" applyFill="1" applyBorder="1" applyAlignment="1" applyProtection="1">
      <alignment horizontal="center" wrapText="1"/>
      <protection locked="0"/>
    </xf>
    <xf numFmtId="167" fontId="1" fillId="5" borderId="9" xfId="1" applyNumberFormat="1" applyFill="1" applyBorder="1" applyProtection="1">
      <protection locked="0"/>
    </xf>
    <xf numFmtId="167" fontId="1" fillId="5" borderId="8" xfId="1" applyNumberFormat="1" applyFill="1" applyBorder="1" applyProtection="1">
      <protection locked="0"/>
    </xf>
    <xf numFmtId="166" fontId="1" fillId="5" borderId="7" xfId="1" applyNumberFormat="1" applyFill="1" applyBorder="1" applyProtection="1">
      <protection locked="0"/>
    </xf>
    <xf numFmtId="167" fontId="6" fillId="5" borderId="6" xfId="0" applyNumberFormat="1" applyFont="1" applyFill="1" applyBorder="1" applyAlignment="1" applyProtection="1">
      <alignment horizontal="center" wrapText="1"/>
      <protection locked="0"/>
    </xf>
    <xf numFmtId="0" fontId="34" fillId="0" borderId="0" xfId="0" applyFon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32" fillId="0" borderId="10" xfId="0" applyFont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32" fillId="0" borderId="10" xfId="0" applyFont="1" applyFill="1" applyBorder="1"/>
    <xf numFmtId="0" fontId="32" fillId="0" borderId="11" xfId="0" applyFont="1" applyBorder="1"/>
    <xf numFmtId="0" fontId="32" fillId="0" borderId="12" xfId="0" applyFont="1" applyBorder="1"/>
    <xf numFmtId="0" fontId="0" fillId="0" borderId="1" xfId="0" applyFill="1" applyBorder="1"/>
    <xf numFmtId="0" fontId="32" fillId="0" borderId="1" xfId="0" applyFont="1" applyBorder="1"/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3" fillId="0" borderId="0" xfId="0" applyFont="1" applyProtection="1">
      <protection locked="0"/>
    </xf>
    <xf numFmtId="165" fontId="33" fillId="0" borderId="0" xfId="0" applyNumberFormat="1" applyFont="1" applyBorder="1" applyProtection="1">
      <protection locked="0"/>
    </xf>
    <xf numFmtId="0" fontId="6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5" fillId="0" borderId="6" xfId="0" applyFont="1" applyBorder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Border="1" applyProtection="1">
      <protection locked="0"/>
    </xf>
    <xf numFmtId="0" fontId="0" fillId="2" borderId="2" xfId="0" applyFill="1" applyBorder="1" applyProtection="1"/>
    <xf numFmtId="0" fontId="0" fillId="2" borderId="3" xfId="0" applyFill="1" applyBorder="1" applyProtection="1"/>
    <xf numFmtId="0" fontId="2" fillId="2" borderId="3" xfId="0" applyFont="1" applyFill="1" applyBorder="1" applyProtection="1"/>
    <xf numFmtId="0" fontId="0" fillId="2" borderId="4" xfId="0" applyFill="1" applyBorder="1" applyProtection="1"/>
    <xf numFmtId="0" fontId="0" fillId="0" borderId="0" xfId="0" applyFill="1" applyBorder="1" applyProtection="1"/>
    <xf numFmtId="0" fontId="8" fillId="0" borderId="0" xfId="0" applyFont="1" applyFill="1" applyBorder="1" applyProtection="1"/>
    <xf numFmtId="0" fontId="2" fillId="0" borderId="0" xfId="0" applyFont="1" applyFill="1" applyBorder="1" applyProtection="1"/>
    <xf numFmtId="0" fontId="8" fillId="0" borderId="0" xfId="0" applyFont="1" applyFill="1" applyBorder="1" applyAlignment="1" applyProtection="1">
      <alignment horizontal="left"/>
    </xf>
    <xf numFmtId="0" fontId="0" fillId="0" borderId="0" xfId="0" applyFill="1" applyProtection="1"/>
    <xf numFmtId="0" fontId="9" fillId="0" borderId="0" xfId="0" applyFont="1" applyFill="1" applyBorder="1" applyProtection="1"/>
    <xf numFmtId="0" fontId="7" fillId="0" borderId="0" xfId="0" applyFont="1" applyFill="1" applyBorder="1" applyAlignment="1" applyProtection="1">
      <alignment horizontal="left"/>
    </xf>
    <xf numFmtId="0" fontId="0" fillId="0" borderId="0" xfId="0" applyProtection="1"/>
    <xf numFmtId="0" fontId="7" fillId="0" borderId="0" xfId="0" applyFont="1" applyFill="1" applyBorder="1" applyProtection="1"/>
    <xf numFmtId="0" fontId="4" fillId="0" borderId="0" xfId="0" applyFont="1" applyProtection="1"/>
    <xf numFmtId="0" fontId="3" fillId="0" borderId="0" xfId="0" applyFont="1" applyProtection="1"/>
    <xf numFmtId="0" fontId="10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left" vertical="top" wrapText="1" readingOrder="1"/>
    </xf>
    <xf numFmtId="164" fontId="11" fillId="0" borderId="0" xfId="0" applyNumberFormat="1" applyFont="1" applyFill="1" applyBorder="1" applyAlignment="1" applyProtection="1">
      <alignment horizontal="right" vertical="top" wrapText="1" readingOrder="1"/>
    </xf>
    <xf numFmtId="165" fontId="5" fillId="0" borderId="0" xfId="0" applyNumberFormat="1" applyFont="1" applyProtection="1"/>
    <xf numFmtId="165" fontId="1" fillId="0" borderId="0" xfId="1" applyNumberFormat="1" applyFill="1" applyBorder="1" applyProtection="1"/>
    <xf numFmtId="165" fontId="6" fillId="0" borderId="6" xfId="0" applyNumberFormat="1" applyFont="1" applyBorder="1" applyProtection="1"/>
    <xf numFmtId="0" fontId="13" fillId="0" borderId="0" xfId="0" applyNumberFormat="1" applyFont="1" applyFill="1" applyBorder="1" applyAlignment="1" applyProtection="1">
      <alignment horizontal="center" vertical="top" wrapText="1" readingOrder="1"/>
    </xf>
    <xf numFmtId="165" fontId="6" fillId="0" borderId="9" xfId="0" applyNumberFormat="1" applyFont="1" applyBorder="1" applyProtection="1"/>
    <xf numFmtId="165" fontId="33" fillId="0" borderId="6" xfId="0" applyNumberFormat="1" applyFont="1" applyBorder="1" applyProtection="1"/>
    <xf numFmtId="165" fontId="33" fillId="0" borderId="0" xfId="0" applyNumberFormat="1" applyFont="1" applyBorder="1" applyProtection="1"/>
    <xf numFmtId="165" fontId="33" fillId="0" borderId="5" xfId="0" applyNumberFormat="1" applyFont="1" applyBorder="1" applyProtection="1"/>
    <xf numFmtId="0" fontId="33" fillId="0" borderId="0" xfId="0" applyFont="1" applyProtection="1"/>
    <xf numFmtId="0" fontId="14" fillId="0" borderId="0" xfId="0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20" fillId="0" borderId="0" xfId="0" applyFont="1" applyFill="1" applyBorder="1" applyProtection="1">
      <protection locked="0"/>
    </xf>
    <xf numFmtId="0" fontId="22" fillId="0" borderId="0" xfId="0" applyFont="1" applyFill="1" applyBorder="1" applyProtection="1">
      <protection locked="0"/>
    </xf>
    <xf numFmtId="0" fontId="24" fillId="0" borderId="0" xfId="0" applyFont="1" applyFill="1" applyBorder="1" applyProtection="1">
      <protection locked="0"/>
    </xf>
    <xf numFmtId="0" fontId="23" fillId="0" borderId="0" xfId="0" applyFont="1" applyFill="1" applyBorder="1" applyProtection="1">
      <protection locked="0"/>
    </xf>
    <xf numFmtId="0" fontId="27" fillId="0" borderId="0" xfId="0" applyFont="1" applyFill="1" applyBorder="1" applyProtection="1">
      <protection locked="0"/>
    </xf>
    <xf numFmtId="0" fontId="28" fillId="0" borderId="0" xfId="0" applyFont="1" applyFill="1" applyBorder="1" applyProtection="1">
      <protection locked="0"/>
    </xf>
    <xf numFmtId="0" fontId="29" fillId="0" borderId="0" xfId="0" applyFont="1" applyFill="1" applyBorder="1" applyProtection="1">
      <protection locked="0"/>
    </xf>
    <xf numFmtId="0" fontId="30" fillId="0" borderId="0" xfId="0" applyFont="1" applyFill="1" applyBorder="1" applyProtection="1">
      <protection locked="0"/>
    </xf>
    <xf numFmtId="0" fontId="14" fillId="0" borderId="0" xfId="0" applyFont="1" applyFill="1" applyBorder="1" applyProtection="1"/>
    <xf numFmtId="0" fontId="16" fillId="0" borderId="0" xfId="0" applyFont="1" applyFill="1" applyBorder="1" applyProtection="1"/>
    <xf numFmtId="0" fontId="15" fillId="0" borderId="0" xfId="0" applyFont="1" applyFill="1" applyBorder="1" applyProtection="1"/>
    <xf numFmtId="0" fontId="16" fillId="0" borderId="0" xfId="0" applyFont="1" applyFill="1" applyBorder="1" applyAlignment="1" applyProtection="1">
      <alignment horizontal="left"/>
    </xf>
    <xf numFmtId="0" fontId="17" fillId="0" borderId="0" xfId="0" applyFont="1" applyFill="1" applyBorder="1" applyProtection="1"/>
    <xf numFmtId="0" fontId="18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Protection="1"/>
    <xf numFmtId="0" fontId="19" fillId="0" borderId="0" xfId="0" applyFont="1" applyFill="1" applyBorder="1" applyProtection="1"/>
    <xf numFmtId="0" fontId="20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left" vertical="top" wrapText="1" readingOrder="1"/>
    </xf>
    <xf numFmtId="0" fontId="31" fillId="0" borderId="0" xfId="0" applyFont="1" applyFill="1" applyBorder="1" applyProtection="1"/>
    <xf numFmtId="164" fontId="12" fillId="0" borderId="0" xfId="0" applyNumberFormat="1" applyFont="1" applyFill="1" applyBorder="1" applyAlignment="1" applyProtection="1">
      <alignment horizontal="right" vertical="top" wrapText="1" readingOrder="1"/>
    </xf>
    <xf numFmtId="0" fontId="25" fillId="0" borderId="0" xfId="0" applyFont="1" applyFill="1" applyBorder="1" applyProtection="1"/>
    <xf numFmtId="0" fontId="12" fillId="0" borderId="0" xfId="0" applyNumberFormat="1" applyFont="1" applyFill="1" applyBorder="1" applyAlignment="1" applyProtection="1">
      <alignment horizontal="left" vertical="top" readingOrder="1"/>
    </xf>
    <xf numFmtId="165" fontId="12" fillId="0" borderId="0" xfId="0" applyNumberFormat="1" applyFont="1" applyFill="1" applyBorder="1" applyProtection="1"/>
    <xf numFmtId="0" fontId="22" fillId="0" borderId="0" xfId="0" applyFont="1" applyFill="1" applyBorder="1" applyProtection="1"/>
    <xf numFmtId="0" fontId="24" fillId="0" borderId="0" xfId="0" applyFont="1" applyFill="1" applyBorder="1" applyProtection="1"/>
    <xf numFmtId="0" fontId="27" fillId="0" borderId="0" xfId="0" applyFont="1" applyFill="1" applyBorder="1" applyProtection="1"/>
    <xf numFmtId="0" fontId="29" fillId="0" borderId="0" xfId="0" applyFont="1" applyFill="1" applyBorder="1" applyProtection="1"/>
    <xf numFmtId="165" fontId="11" fillId="0" borderId="0" xfId="0" applyNumberFormat="1" applyFont="1" applyFill="1" applyBorder="1" applyProtection="1"/>
    <xf numFmtId="165" fontId="21" fillId="0" borderId="0" xfId="1" applyNumberFormat="1" applyFont="1" applyFill="1" applyBorder="1" applyProtection="1"/>
    <xf numFmtId="0" fontId="12" fillId="0" borderId="0" xfId="0" applyFont="1" applyFill="1" applyBorder="1" applyProtection="1"/>
    <xf numFmtId="165" fontId="5" fillId="0" borderId="0" xfId="0" applyNumberFormat="1" applyFont="1" applyAlignment="1" applyProtection="1">
      <alignment horizontal="right" wrapText="1"/>
    </xf>
    <xf numFmtId="0" fontId="4" fillId="0" borderId="0" xfId="0" applyFont="1" applyFill="1" applyProtection="1"/>
    <xf numFmtId="0" fontId="3" fillId="0" borderId="0" xfId="0" applyFont="1" applyFill="1" applyProtection="1"/>
    <xf numFmtId="1" fontId="12" fillId="0" borderId="0" xfId="0" applyNumberFormat="1" applyFont="1" applyFill="1" applyBorder="1" applyAlignment="1" applyProtection="1">
      <alignment horizontal="right" wrapText="1"/>
    </xf>
    <xf numFmtId="0" fontId="5" fillId="0" borderId="9" xfId="0" applyFont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5" fillId="0" borderId="6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13" fillId="0" borderId="0" xfId="0" applyNumberFormat="1" applyFont="1" applyFill="1" applyBorder="1" applyAlignment="1" applyProtection="1">
      <alignment horizontal="left" vertical="top" wrapText="1" readingOrder="1"/>
    </xf>
    <xf numFmtId="0" fontId="15" fillId="4" borderId="0" xfId="0" applyFont="1" applyFill="1" applyBorder="1" applyAlignment="1" applyProtection="1">
      <alignment horizontal="center"/>
    </xf>
    <xf numFmtId="0" fontId="15" fillId="4" borderId="13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</cellXfs>
  <cellStyles count="2">
    <cellStyle name="20% - Accent4" xfId="1" builtinId="4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9"/>
  <sheetViews>
    <sheetView workbookViewId="0">
      <selection activeCell="A29" sqref="A29"/>
    </sheetView>
  </sheetViews>
  <sheetFormatPr defaultRowHeight="15" x14ac:dyDescent="0.25"/>
  <cols>
    <col min="1" max="1" width="50.5703125" customWidth="1"/>
    <col min="2" max="2" width="66.7109375" customWidth="1"/>
  </cols>
  <sheetData>
    <row r="1" spans="1:2" ht="18.75" x14ac:dyDescent="0.3">
      <c r="A1" s="12" t="s">
        <v>709</v>
      </c>
    </row>
    <row r="2" spans="1:2" ht="18.75" x14ac:dyDescent="0.3">
      <c r="A2" s="12" t="s">
        <v>710</v>
      </c>
    </row>
    <row r="3" spans="1:2" ht="15.75" thickBot="1" x14ac:dyDescent="0.3"/>
    <row r="4" spans="1:2" x14ac:dyDescent="0.25">
      <c r="A4" s="16" t="s">
        <v>739</v>
      </c>
      <c r="B4" s="13" t="s">
        <v>713</v>
      </c>
    </row>
    <row r="5" spans="1:2" x14ac:dyDescent="0.25">
      <c r="A5" s="14" t="s">
        <v>711</v>
      </c>
      <c r="B5" s="14" t="s">
        <v>714</v>
      </c>
    </row>
    <row r="6" spans="1:2" ht="15.75" thickBot="1" x14ac:dyDescent="0.3">
      <c r="A6" s="15" t="s">
        <v>712</v>
      </c>
      <c r="B6" s="15" t="s">
        <v>715</v>
      </c>
    </row>
    <row r="7" spans="1:2" x14ac:dyDescent="0.25">
      <c r="A7" s="20" t="s">
        <v>740</v>
      </c>
      <c r="B7" s="17" t="s">
        <v>716</v>
      </c>
    </row>
    <row r="8" spans="1:2" x14ac:dyDescent="0.25">
      <c r="A8" s="14"/>
      <c r="B8" s="18" t="s">
        <v>717</v>
      </c>
    </row>
    <row r="9" spans="1:2" x14ac:dyDescent="0.25">
      <c r="A9" s="14"/>
      <c r="B9" s="18" t="s">
        <v>718</v>
      </c>
    </row>
    <row r="10" spans="1:2" x14ac:dyDescent="0.25">
      <c r="A10" s="14"/>
      <c r="B10" s="18" t="s">
        <v>719</v>
      </c>
    </row>
    <row r="11" spans="1:2" ht="15.75" thickBot="1" x14ac:dyDescent="0.3">
      <c r="A11" s="15"/>
      <c r="B11" s="19" t="s">
        <v>720</v>
      </c>
    </row>
    <row r="12" spans="1:2" x14ac:dyDescent="0.25">
      <c r="A12" s="16" t="s">
        <v>741</v>
      </c>
      <c r="B12" s="17" t="s">
        <v>722</v>
      </c>
    </row>
    <row r="13" spans="1:2" x14ac:dyDescent="0.25">
      <c r="A13" s="14" t="s">
        <v>721</v>
      </c>
      <c r="B13" s="18" t="s">
        <v>723</v>
      </c>
    </row>
    <row r="14" spans="1:2" x14ac:dyDescent="0.25">
      <c r="A14" s="14"/>
      <c r="B14" s="18" t="s">
        <v>724</v>
      </c>
    </row>
    <row r="15" spans="1:2" x14ac:dyDescent="0.25">
      <c r="A15" s="14"/>
      <c r="B15" s="18" t="s">
        <v>725</v>
      </c>
    </row>
    <row r="16" spans="1:2" x14ac:dyDescent="0.25">
      <c r="A16" s="14"/>
      <c r="B16" s="18" t="s">
        <v>726</v>
      </c>
    </row>
    <row r="17" spans="1:2" x14ac:dyDescent="0.25">
      <c r="A17" s="14"/>
      <c r="B17" s="18" t="s">
        <v>727</v>
      </c>
    </row>
    <row r="18" spans="1:2" x14ac:dyDescent="0.25">
      <c r="A18" s="14"/>
      <c r="B18" s="18" t="s">
        <v>728</v>
      </c>
    </row>
    <row r="19" spans="1:2" ht="15.75" thickBot="1" x14ac:dyDescent="0.3">
      <c r="A19" s="15"/>
      <c r="B19" s="19" t="s">
        <v>729</v>
      </c>
    </row>
    <row r="20" spans="1:2" x14ac:dyDescent="0.25">
      <c r="A20" s="16" t="s">
        <v>742</v>
      </c>
      <c r="B20" s="17" t="s">
        <v>730</v>
      </c>
    </row>
    <row r="21" spans="1:2" ht="15.75" thickBot="1" x14ac:dyDescent="0.3">
      <c r="A21" s="15"/>
      <c r="B21" s="19" t="s">
        <v>731</v>
      </c>
    </row>
    <row r="22" spans="1:2" x14ac:dyDescent="0.25">
      <c r="A22" s="16" t="s">
        <v>737</v>
      </c>
      <c r="B22" s="17" t="s">
        <v>733</v>
      </c>
    </row>
    <row r="23" spans="1:2" x14ac:dyDescent="0.25">
      <c r="A23" s="21" t="s">
        <v>732</v>
      </c>
      <c r="B23" s="18" t="s">
        <v>734</v>
      </c>
    </row>
    <row r="24" spans="1:2" ht="15.75" thickBot="1" x14ac:dyDescent="0.3">
      <c r="A24" s="22"/>
      <c r="B24" s="19" t="s">
        <v>735</v>
      </c>
    </row>
    <row r="25" spans="1:2" ht="15.75" thickBot="1" x14ac:dyDescent="0.3">
      <c r="A25" s="24" t="s">
        <v>738</v>
      </c>
      <c r="B25" s="23" t="s">
        <v>736</v>
      </c>
    </row>
    <row r="26" spans="1:2" x14ac:dyDescent="0.25">
      <c r="A26" s="16" t="s">
        <v>744</v>
      </c>
      <c r="B26" s="17" t="s">
        <v>743</v>
      </c>
    </row>
    <row r="27" spans="1:2" ht="15.75" thickBot="1" x14ac:dyDescent="0.3">
      <c r="A27" s="15"/>
      <c r="B27" s="19" t="s">
        <v>748</v>
      </c>
    </row>
    <row r="28" spans="1:2" x14ac:dyDescent="0.25">
      <c r="A28" s="20" t="s">
        <v>749</v>
      </c>
      <c r="B28" s="17" t="s">
        <v>747</v>
      </c>
    </row>
    <row r="29" spans="1:2" ht="15.75" thickBot="1" x14ac:dyDescent="0.3">
      <c r="A29" s="15" t="s">
        <v>746</v>
      </c>
      <c r="B29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54"/>
  <sheetViews>
    <sheetView zoomScaleNormal="100" workbookViewId="0">
      <selection activeCell="E5" sqref="E5"/>
    </sheetView>
  </sheetViews>
  <sheetFormatPr defaultRowHeight="15" x14ac:dyDescent="0.25"/>
  <cols>
    <col min="1" max="1" width="40.42578125" style="26" customWidth="1"/>
    <col min="2" max="2" width="3" style="26" customWidth="1"/>
    <col min="3" max="3" width="15.7109375" style="26" customWidth="1"/>
    <col min="4" max="4" width="3.5703125" style="26" customWidth="1"/>
    <col min="5" max="5" width="19.42578125" style="26" customWidth="1"/>
    <col min="6" max="6" width="3.28515625" style="26" customWidth="1"/>
    <col min="7" max="7" width="16.7109375" style="26" customWidth="1"/>
    <col min="8" max="9" width="9.140625" style="26"/>
    <col min="10" max="10" width="8.28515625" style="26" customWidth="1"/>
    <col min="11" max="16384" width="9.140625" style="26"/>
  </cols>
  <sheetData>
    <row r="1" spans="1:14" ht="24.95" customHeight="1" thickBot="1" x14ac:dyDescent="0.35">
      <c r="A1" s="39"/>
      <c r="B1" s="40"/>
      <c r="C1" s="40"/>
      <c r="D1" s="41" t="s">
        <v>10</v>
      </c>
      <c r="E1" s="40"/>
      <c r="F1" s="40"/>
      <c r="G1" s="40"/>
      <c r="H1" s="40"/>
      <c r="I1" s="40"/>
      <c r="J1" s="40"/>
      <c r="K1" s="42"/>
      <c r="L1" s="25"/>
      <c r="M1" s="25"/>
      <c r="N1" s="25"/>
    </row>
    <row r="2" spans="1:14" s="27" customFormat="1" ht="24.95" customHeight="1" x14ac:dyDescent="0.35">
      <c r="A2" s="43"/>
      <c r="B2" s="43"/>
      <c r="C2" s="44" t="s">
        <v>11</v>
      </c>
      <c r="D2" s="45"/>
      <c r="E2" s="43"/>
      <c r="F2" s="43"/>
      <c r="G2" s="43"/>
      <c r="H2" s="43"/>
      <c r="I2" s="43"/>
      <c r="J2" s="43"/>
      <c r="K2" s="43"/>
      <c r="L2" s="25"/>
      <c r="M2" s="25"/>
      <c r="N2" s="25"/>
    </row>
    <row r="3" spans="1:14" s="27" customFormat="1" ht="24.95" customHeight="1" x14ac:dyDescent="0.35">
      <c r="A3" s="46" t="s">
        <v>750</v>
      </c>
      <c r="B3" s="47"/>
      <c r="C3" s="44" t="s">
        <v>116</v>
      </c>
      <c r="D3" s="48"/>
      <c r="E3" s="47"/>
      <c r="F3" s="47"/>
      <c r="G3" s="43"/>
      <c r="H3" s="43"/>
      <c r="I3" s="43"/>
      <c r="J3" s="43"/>
      <c r="K3" s="43"/>
      <c r="L3" s="25"/>
      <c r="M3" s="25"/>
      <c r="N3" s="25"/>
    </row>
    <row r="4" spans="1:14" ht="22.5" customHeight="1" x14ac:dyDescent="0.35">
      <c r="A4" s="43"/>
      <c r="B4" s="46"/>
      <c r="C4" s="49"/>
      <c r="D4" s="50"/>
      <c r="E4" s="51"/>
      <c r="F4" s="51"/>
      <c r="G4" s="43"/>
      <c r="H4" s="43"/>
      <c r="I4" s="43"/>
      <c r="J4" s="43"/>
      <c r="K4" s="43"/>
      <c r="L4" s="25"/>
      <c r="M4" s="25"/>
      <c r="N4" s="25"/>
    </row>
    <row r="5" spans="1:14" ht="18.75" x14ac:dyDescent="0.3">
      <c r="A5" s="52" t="s">
        <v>5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29"/>
      <c r="M5" s="29"/>
    </row>
    <row r="6" spans="1:14" ht="18.75" x14ac:dyDescent="0.3">
      <c r="A6" s="52" t="s">
        <v>6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28"/>
      <c r="M6" s="29"/>
    </row>
    <row r="7" spans="1:14" ht="18.75" x14ac:dyDescent="0.3">
      <c r="A7" s="52" t="s">
        <v>7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28"/>
      <c r="M7" s="29"/>
    </row>
    <row r="8" spans="1:14" ht="18.75" x14ac:dyDescent="0.3">
      <c r="A8" s="52" t="s">
        <v>8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28"/>
      <c r="M8" s="29"/>
    </row>
    <row r="9" spans="1:14" ht="18.75" x14ac:dyDescent="0.3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28"/>
      <c r="M9" s="29"/>
    </row>
    <row r="10" spans="1:14" ht="48" x14ac:dyDescent="0.3">
      <c r="A10" s="54" t="s">
        <v>12</v>
      </c>
      <c r="B10" s="52"/>
      <c r="C10" s="55" t="s">
        <v>687</v>
      </c>
      <c r="D10" s="52"/>
      <c r="E10" s="56" t="s">
        <v>688</v>
      </c>
      <c r="F10" s="52"/>
      <c r="G10" s="56" t="s">
        <v>115</v>
      </c>
      <c r="H10" s="52"/>
      <c r="I10" s="52"/>
      <c r="J10" s="52"/>
      <c r="K10" s="52"/>
      <c r="L10" s="28"/>
      <c r="M10" s="29"/>
    </row>
    <row r="11" spans="1:14" ht="18.75" customHeight="1" x14ac:dyDescent="0.3">
      <c r="A11" s="57" t="s">
        <v>14</v>
      </c>
      <c r="B11" s="52"/>
      <c r="C11" s="58">
        <v>8833</v>
      </c>
      <c r="D11" s="52"/>
      <c r="E11" s="1"/>
      <c r="F11" s="52"/>
      <c r="G11" s="59">
        <f>C11*E11</f>
        <v>0</v>
      </c>
      <c r="H11" s="52"/>
      <c r="I11" s="52"/>
      <c r="J11" s="52"/>
      <c r="K11" s="52"/>
      <c r="L11" s="28"/>
      <c r="M11" s="29"/>
    </row>
    <row r="12" spans="1:14" ht="18.75" customHeight="1" x14ac:dyDescent="0.3">
      <c r="A12" s="57" t="s">
        <v>15</v>
      </c>
      <c r="B12" s="52"/>
      <c r="C12" s="58">
        <v>7192</v>
      </c>
      <c r="D12" s="52"/>
      <c r="E12" s="1"/>
      <c r="F12" s="52"/>
      <c r="G12" s="59">
        <f t="shared" ref="G12:G75" si="0">C12*E12</f>
        <v>0</v>
      </c>
      <c r="H12" s="52"/>
      <c r="I12" s="52"/>
      <c r="J12" s="52"/>
      <c r="K12" s="52"/>
      <c r="L12" s="28"/>
      <c r="M12" s="29"/>
    </row>
    <row r="13" spans="1:14" ht="18.75" customHeight="1" x14ac:dyDescent="0.3">
      <c r="A13" s="57" t="s">
        <v>16</v>
      </c>
      <c r="B13" s="52"/>
      <c r="C13" s="58">
        <v>1096</v>
      </c>
      <c r="D13" s="52"/>
      <c r="E13" s="1"/>
      <c r="F13" s="52"/>
      <c r="G13" s="59">
        <f t="shared" si="0"/>
        <v>0</v>
      </c>
      <c r="H13" s="52"/>
      <c r="I13" s="52"/>
      <c r="J13" s="52"/>
      <c r="K13" s="52"/>
      <c r="L13" s="28"/>
      <c r="M13" s="29"/>
    </row>
    <row r="14" spans="1:14" ht="18.75" customHeight="1" x14ac:dyDescent="0.3">
      <c r="A14" s="57" t="s">
        <v>17</v>
      </c>
      <c r="B14" s="52"/>
      <c r="C14" s="58">
        <v>1245</v>
      </c>
      <c r="D14" s="52"/>
      <c r="E14" s="1"/>
      <c r="F14" s="52"/>
      <c r="G14" s="59">
        <f t="shared" si="0"/>
        <v>0</v>
      </c>
      <c r="H14" s="52"/>
      <c r="I14" s="52"/>
      <c r="J14" s="52"/>
      <c r="K14" s="52"/>
      <c r="L14" s="28"/>
      <c r="M14" s="29"/>
    </row>
    <row r="15" spans="1:14" ht="18.75" customHeight="1" x14ac:dyDescent="0.3">
      <c r="A15" s="57" t="s">
        <v>18</v>
      </c>
      <c r="B15" s="52"/>
      <c r="C15" s="58">
        <v>788</v>
      </c>
      <c r="D15" s="52"/>
      <c r="E15" s="1"/>
      <c r="F15" s="52"/>
      <c r="G15" s="59">
        <f t="shared" si="0"/>
        <v>0</v>
      </c>
      <c r="H15" s="52"/>
      <c r="I15" s="52"/>
      <c r="J15" s="52"/>
      <c r="K15" s="52"/>
      <c r="L15" s="28"/>
      <c r="M15" s="29"/>
    </row>
    <row r="16" spans="1:14" ht="18.75" customHeight="1" x14ac:dyDescent="0.3">
      <c r="A16" s="57" t="s">
        <v>19</v>
      </c>
      <c r="B16" s="52"/>
      <c r="C16" s="58">
        <v>3689</v>
      </c>
      <c r="D16" s="52"/>
      <c r="E16" s="1"/>
      <c r="F16" s="52"/>
      <c r="G16" s="59">
        <f t="shared" si="0"/>
        <v>0</v>
      </c>
      <c r="H16" s="52"/>
      <c r="I16" s="52"/>
      <c r="J16" s="52"/>
      <c r="K16" s="52"/>
      <c r="L16" s="28"/>
      <c r="M16" s="29"/>
    </row>
    <row r="17" spans="1:13" ht="18.75" customHeight="1" x14ac:dyDescent="0.3">
      <c r="A17" s="57" t="s">
        <v>20</v>
      </c>
      <c r="B17" s="52"/>
      <c r="C17" s="58">
        <v>1039</v>
      </c>
      <c r="D17" s="52"/>
      <c r="E17" s="1"/>
      <c r="F17" s="52"/>
      <c r="G17" s="59">
        <f t="shared" si="0"/>
        <v>0</v>
      </c>
      <c r="H17" s="52"/>
      <c r="I17" s="52"/>
      <c r="J17" s="52"/>
      <c r="K17" s="52"/>
      <c r="L17" s="28"/>
      <c r="M17" s="29"/>
    </row>
    <row r="18" spans="1:13" ht="18.75" customHeight="1" x14ac:dyDescent="0.3">
      <c r="A18" s="57" t="s">
        <v>21</v>
      </c>
      <c r="B18" s="52"/>
      <c r="C18" s="58">
        <v>1907</v>
      </c>
      <c r="D18" s="52"/>
      <c r="E18" s="1"/>
      <c r="F18" s="52"/>
      <c r="G18" s="59">
        <f t="shared" si="0"/>
        <v>0</v>
      </c>
      <c r="H18" s="52"/>
      <c r="I18" s="52"/>
      <c r="J18" s="52"/>
      <c r="K18" s="52"/>
      <c r="L18" s="28"/>
      <c r="M18" s="29"/>
    </row>
    <row r="19" spans="1:13" ht="18.75" customHeight="1" x14ac:dyDescent="0.3">
      <c r="A19" s="57" t="s">
        <v>22</v>
      </c>
      <c r="B19" s="52"/>
      <c r="C19" s="58">
        <v>1135</v>
      </c>
      <c r="D19" s="52"/>
      <c r="E19" s="1"/>
      <c r="F19" s="52"/>
      <c r="G19" s="59">
        <f t="shared" si="0"/>
        <v>0</v>
      </c>
      <c r="H19" s="52"/>
      <c r="I19" s="52"/>
      <c r="J19" s="52"/>
      <c r="K19" s="52"/>
      <c r="L19" s="28"/>
      <c r="M19" s="29"/>
    </row>
    <row r="20" spans="1:13" ht="18.75" customHeight="1" x14ac:dyDescent="0.3">
      <c r="A20" s="57" t="s">
        <v>23</v>
      </c>
      <c r="B20" s="52"/>
      <c r="C20" s="58">
        <v>1882</v>
      </c>
      <c r="D20" s="52"/>
      <c r="E20" s="1"/>
      <c r="F20" s="52"/>
      <c r="G20" s="59">
        <f t="shared" si="0"/>
        <v>0</v>
      </c>
      <c r="H20" s="52"/>
      <c r="I20" s="52"/>
      <c r="J20" s="52"/>
      <c r="K20" s="52"/>
      <c r="L20" s="28"/>
      <c r="M20" s="29"/>
    </row>
    <row r="21" spans="1:13" ht="18.75" customHeight="1" x14ac:dyDescent="0.3">
      <c r="A21" s="57" t="s">
        <v>24</v>
      </c>
      <c r="B21" s="52"/>
      <c r="C21" s="58">
        <v>2528</v>
      </c>
      <c r="D21" s="52"/>
      <c r="E21" s="1"/>
      <c r="F21" s="52"/>
      <c r="G21" s="59">
        <f t="shared" si="0"/>
        <v>0</v>
      </c>
      <c r="H21" s="52"/>
      <c r="I21" s="52"/>
      <c r="J21" s="52"/>
      <c r="K21" s="52"/>
      <c r="L21" s="28"/>
      <c r="M21" s="29"/>
    </row>
    <row r="22" spans="1:13" ht="18.75" customHeight="1" x14ac:dyDescent="0.3">
      <c r="A22" s="57" t="s">
        <v>25</v>
      </c>
      <c r="B22" s="52"/>
      <c r="C22" s="58">
        <v>1385</v>
      </c>
      <c r="D22" s="52"/>
      <c r="E22" s="1"/>
      <c r="F22" s="52"/>
      <c r="G22" s="59">
        <f t="shared" si="0"/>
        <v>0</v>
      </c>
      <c r="H22" s="52"/>
      <c r="I22" s="52"/>
      <c r="J22" s="52"/>
      <c r="K22" s="52"/>
      <c r="L22" s="28"/>
      <c r="M22" s="29"/>
    </row>
    <row r="23" spans="1:13" ht="18.75" customHeight="1" x14ac:dyDescent="0.3">
      <c r="A23" s="57" t="s">
        <v>26</v>
      </c>
      <c r="B23" s="52"/>
      <c r="C23" s="58">
        <v>1121</v>
      </c>
      <c r="D23" s="52"/>
      <c r="E23" s="1"/>
      <c r="F23" s="52"/>
      <c r="G23" s="59">
        <f t="shared" si="0"/>
        <v>0</v>
      </c>
      <c r="H23" s="52"/>
      <c r="I23" s="52"/>
      <c r="J23" s="52"/>
      <c r="K23" s="52"/>
      <c r="L23" s="28"/>
      <c r="M23" s="29"/>
    </row>
    <row r="24" spans="1:13" ht="18.75" customHeight="1" x14ac:dyDescent="0.3">
      <c r="A24" s="57" t="s">
        <v>27</v>
      </c>
      <c r="B24" s="52"/>
      <c r="C24" s="58">
        <v>1188</v>
      </c>
      <c r="D24" s="52"/>
      <c r="E24" s="1"/>
      <c r="F24" s="52"/>
      <c r="G24" s="59">
        <f t="shared" si="0"/>
        <v>0</v>
      </c>
      <c r="H24" s="52"/>
      <c r="I24" s="52"/>
      <c r="J24" s="52"/>
      <c r="K24" s="52"/>
      <c r="L24" s="28"/>
      <c r="M24" s="29"/>
    </row>
    <row r="25" spans="1:13" ht="18.75" customHeight="1" x14ac:dyDescent="0.3">
      <c r="A25" s="57" t="s">
        <v>28</v>
      </c>
      <c r="B25" s="52"/>
      <c r="C25" s="58">
        <v>6574</v>
      </c>
      <c r="D25" s="52"/>
      <c r="E25" s="1"/>
      <c r="F25" s="52"/>
      <c r="G25" s="59">
        <f t="shared" si="0"/>
        <v>0</v>
      </c>
      <c r="H25" s="52"/>
      <c r="I25" s="52"/>
      <c r="J25" s="52"/>
      <c r="K25" s="52"/>
      <c r="L25" s="28"/>
      <c r="M25" s="29"/>
    </row>
    <row r="26" spans="1:13" ht="18.75" customHeight="1" x14ac:dyDescent="0.3">
      <c r="A26" s="57" t="s">
        <v>29</v>
      </c>
      <c r="B26" s="52"/>
      <c r="C26" s="58">
        <v>6220</v>
      </c>
      <c r="D26" s="52"/>
      <c r="E26" s="1"/>
      <c r="F26" s="52"/>
      <c r="G26" s="59">
        <f t="shared" si="0"/>
        <v>0</v>
      </c>
      <c r="H26" s="52"/>
      <c r="I26" s="52"/>
      <c r="J26" s="52"/>
      <c r="K26" s="52"/>
      <c r="L26" s="28"/>
      <c r="M26" s="29"/>
    </row>
    <row r="27" spans="1:13" ht="18.75" customHeight="1" x14ac:dyDescent="0.3">
      <c r="A27" s="57" t="s">
        <v>30</v>
      </c>
      <c r="B27" s="52"/>
      <c r="C27" s="58">
        <v>2549</v>
      </c>
      <c r="D27" s="52"/>
      <c r="E27" s="1"/>
      <c r="F27" s="52"/>
      <c r="G27" s="59">
        <f t="shared" si="0"/>
        <v>0</v>
      </c>
      <c r="H27" s="52"/>
      <c r="I27" s="52"/>
      <c r="J27" s="52"/>
      <c r="K27" s="52"/>
      <c r="L27" s="28"/>
      <c r="M27" s="29"/>
    </row>
    <row r="28" spans="1:13" ht="18.75" customHeight="1" x14ac:dyDescent="0.3">
      <c r="A28" s="57" t="s">
        <v>31</v>
      </c>
      <c r="B28" s="52"/>
      <c r="C28" s="58">
        <v>2853</v>
      </c>
      <c r="D28" s="52"/>
      <c r="E28" s="1"/>
      <c r="F28" s="52"/>
      <c r="G28" s="59">
        <f t="shared" si="0"/>
        <v>0</v>
      </c>
      <c r="H28" s="52"/>
      <c r="I28" s="52"/>
      <c r="J28" s="52"/>
      <c r="K28" s="52"/>
      <c r="L28" s="28"/>
      <c r="M28" s="29"/>
    </row>
    <row r="29" spans="1:13" ht="18.75" customHeight="1" x14ac:dyDescent="0.3">
      <c r="A29" s="57" t="s">
        <v>32</v>
      </c>
      <c r="B29" s="52"/>
      <c r="C29" s="58">
        <v>744</v>
      </c>
      <c r="D29" s="52"/>
      <c r="E29" s="1"/>
      <c r="F29" s="52"/>
      <c r="G29" s="59">
        <f t="shared" si="0"/>
        <v>0</v>
      </c>
      <c r="H29" s="52"/>
      <c r="I29" s="52"/>
      <c r="J29" s="52"/>
      <c r="K29" s="52"/>
      <c r="L29" s="28"/>
      <c r="M29" s="29"/>
    </row>
    <row r="30" spans="1:13" ht="18.75" customHeight="1" x14ac:dyDescent="0.3">
      <c r="A30" s="57" t="s">
        <v>33</v>
      </c>
      <c r="B30" s="52"/>
      <c r="C30" s="58">
        <v>2857</v>
      </c>
      <c r="D30" s="52"/>
      <c r="E30" s="1"/>
      <c r="F30" s="52"/>
      <c r="G30" s="59">
        <f t="shared" si="0"/>
        <v>0</v>
      </c>
      <c r="H30" s="52"/>
      <c r="I30" s="52"/>
      <c r="J30" s="52"/>
      <c r="K30" s="52"/>
      <c r="L30" s="28"/>
      <c r="M30" s="29"/>
    </row>
    <row r="31" spans="1:13" ht="18.75" customHeight="1" x14ac:dyDescent="0.3">
      <c r="A31" s="57" t="s">
        <v>34</v>
      </c>
      <c r="B31" s="52"/>
      <c r="C31" s="58">
        <v>1050</v>
      </c>
      <c r="D31" s="52"/>
      <c r="E31" s="1"/>
      <c r="F31" s="52"/>
      <c r="G31" s="59">
        <f t="shared" si="0"/>
        <v>0</v>
      </c>
      <c r="H31" s="52"/>
      <c r="I31" s="52"/>
      <c r="J31" s="52"/>
      <c r="K31" s="52"/>
      <c r="L31" s="28"/>
      <c r="M31" s="29"/>
    </row>
    <row r="32" spans="1:13" ht="18.75" customHeight="1" x14ac:dyDescent="0.3">
      <c r="A32" s="57" t="s">
        <v>35</v>
      </c>
      <c r="B32" s="52"/>
      <c r="C32" s="58">
        <v>1054</v>
      </c>
      <c r="D32" s="52"/>
      <c r="E32" s="1"/>
      <c r="F32" s="52"/>
      <c r="G32" s="59">
        <f t="shared" si="0"/>
        <v>0</v>
      </c>
      <c r="H32" s="52"/>
      <c r="I32" s="52"/>
      <c r="J32" s="52"/>
      <c r="K32" s="52"/>
      <c r="L32" s="28"/>
      <c r="M32" s="29"/>
    </row>
    <row r="33" spans="1:13" ht="18.75" customHeight="1" x14ac:dyDescent="0.3">
      <c r="A33" s="57" t="s">
        <v>36</v>
      </c>
      <c r="B33" s="52"/>
      <c r="C33" s="58">
        <v>1647</v>
      </c>
      <c r="D33" s="52"/>
      <c r="E33" s="1"/>
      <c r="F33" s="52"/>
      <c r="G33" s="59">
        <f t="shared" si="0"/>
        <v>0</v>
      </c>
      <c r="H33" s="52"/>
      <c r="I33" s="52"/>
      <c r="J33" s="52"/>
      <c r="K33" s="52"/>
      <c r="L33" s="28"/>
      <c r="M33" s="29"/>
    </row>
    <row r="34" spans="1:13" ht="18.75" customHeight="1" x14ac:dyDescent="0.3">
      <c r="A34" s="57" t="s">
        <v>37</v>
      </c>
      <c r="B34" s="52"/>
      <c r="C34" s="58">
        <v>2140</v>
      </c>
      <c r="D34" s="52"/>
      <c r="E34" s="1"/>
      <c r="F34" s="52"/>
      <c r="G34" s="59">
        <f t="shared" si="0"/>
        <v>0</v>
      </c>
      <c r="H34" s="52"/>
      <c r="I34" s="52"/>
      <c r="J34" s="52"/>
      <c r="K34" s="52"/>
      <c r="L34" s="28"/>
      <c r="M34" s="29"/>
    </row>
    <row r="35" spans="1:13" ht="18.75" customHeight="1" x14ac:dyDescent="0.3">
      <c r="A35" s="57" t="s">
        <v>38</v>
      </c>
      <c r="B35" s="52"/>
      <c r="C35" s="58">
        <v>1314</v>
      </c>
      <c r="D35" s="52"/>
      <c r="E35" s="1"/>
      <c r="F35" s="52"/>
      <c r="G35" s="59">
        <f t="shared" si="0"/>
        <v>0</v>
      </c>
      <c r="H35" s="52"/>
      <c r="I35" s="52"/>
      <c r="J35" s="52"/>
      <c r="K35" s="52"/>
      <c r="L35" s="28"/>
      <c r="M35" s="29"/>
    </row>
    <row r="36" spans="1:13" ht="18.75" customHeight="1" x14ac:dyDescent="0.3">
      <c r="A36" s="57" t="s">
        <v>39</v>
      </c>
      <c r="B36" s="52"/>
      <c r="C36" s="58">
        <v>1368</v>
      </c>
      <c r="D36" s="52"/>
      <c r="E36" s="1"/>
      <c r="F36" s="52"/>
      <c r="G36" s="59">
        <f t="shared" si="0"/>
        <v>0</v>
      </c>
      <c r="H36" s="52"/>
      <c r="I36" s="52"/>
      <c r="J36" s="52"/>
      <c r="K36" s="52"/>
      <c r="L36" s="28"/>
      <c r="M36" s="29"/>
    </row>
    <row r="37" spans="1:13" ht="18.75" customHeight="1" x14ac:dyDescent="0.3">
      <c r="A37" s="57" t="s">
        <v>40</v>
      </c>
      <c r="B37" s="52"/>
      <c r="C37" s="58">
        <v>7084</v>
      </c>
      <c r="D37" s="52"/>
      <c r="E37" s="1"/>
      <c r="F37" s="52"/>
      <c r="G37" s="59">
        <f t="shared" si="0"/>
        <v>0</v>
      </c>
      <c r="H37" s="52"/>
      <c r="I37" s="52"/>
      <c r="J37" s="52"/>
      <c r="K37" s="52"/>
      <c r="L37" s="28"/>
      <c r="M37" s="29"/>
    </row>
    <row r="38" spans="1:13" ht="18.75" customHeight="1" x14ac:dyDescent="0.25">
      <c r="A38" s="57" t="s">
        <v>41</v>
      </c>
      <c r="B38" s="53"/>
      <c r="C38" s="58">
        <v>2134</v>
      </c>
      <c r="D38" s="53"/>
      <c r="E38" s="1"/>
      <c r="F38" s="53"/>
      <c r="G38" s="59">
        <f t="shared" si="0"/>
        <v>0</v>
      </c>
      <c r="H38" s="53"/>
      <c r="I38" s="53"/>
      <c r="J38" s="53"/>
      <c r="K38" s="53"/>
      <c r="L38" s="29"/>
      <c r="M38" s="29"/>
    </row>
    <row r="39" spans="1:13" ht="18.75" customHeight="1" x14ac:dyDescent="0.25">
      <c r="A39" s="57" t="s">
        <v>42</v>
      </c>
      <c r="B39" s="53"/>
      <c r="C39" s="58">
        <v>832</v>
      </c>
      <c r="D39" s="53"/>
      <c r="E39" s="1"/>
      <c r="F39" s="53"/>
      <c r="G39" s="59">
        <f t="shared" si="0"/>
        <v>0</v>
      </c>
      <c r="H39" s="53"/>
      <c r="I39" s="53"/>
      <c r="J39" s="53"/>
      <c r="K39" s="53"/>
      <c r="L39" s="29"/>
      <c r="M39" s="29"/>
    </row>
    <row r="40" spans="1:13" ht="18.75" customHeight="1" x14ac:dyDescent="0.25">
      <c r="A40" s="57" t="s">
        <v>43</v>
      </c>
      <c r="B40" s="53"/>
      <c r="C40" s="58">
        <v>4287</v>
      </c>
      <c r="D40" s="53"/>
      <c r="E40" s="1"/>
      <c r="F40" s="53"/>
      <c r="G40" s="59">
        <f t="shared" si="0"/>
        <v>0</v>
      </c>
      <c r="H40" s="53"/>
      <c r="I40" s="53"/>
      <c r="J40" s="53"/>
      <c r="K40" s="53"/>
      <c r="L40" s="29"/>
      <c r="M40" s="29"/>
    </row>
    <row r="41" spans="1:13" ht="18.75" customHeight="1" x14ac:dyDescent="0.25">
      <c r="A41" s="57" t="s">
        <v>44</v>
      </c>
      <c r="B41" s="53"/>
      <c r="C41" s="58">
        <v>1112</v>
      </c>
      <c r="D41" s="53"/>
      <c r="E41" s="1"/>
      <c r="F41" s="53"/>
      <c r="G41" s="59">
        <f t="shared" si="0"/>
        <v>0</v>
      </c>
      <c r="H41" s="53"/>
      <c r="I41" s="53"/>
      <c r="J41" s="53"/>
      <c r="K41" s="53"/>
      <c r="L41" s="29"/>
      <c r="M41" s="29"/>
    </row>
    <row r="42" spans="1:13" ht="18.75" customHeight="1" x14ac:dyDescent="0.25">
      <c r="A42" s="57" t="s">
        <v>45</v>
      </c>
      <c r="B42" s="53"/>
      <c r="C42" s="58">
        <v>4331</v>
      </c>
      <c r="D42" s="53"/>
      <c r="E42" s="1"/>
      <c r="F42" s="53"/>
      <c r="G42" s="59">
        <f t="shared" si="0"/>
        <v>0</v>
      </c>
      <c r="H42" s="53"/>
      <c r="I42" s="53"/>
      <c r="J42" s="53"/>
      <c r="K42" s="53"/>
      <c r="L42" s="29"/>
      <c r="M42" s="29"/>
    </row>
    <row r="43" spans="1:13" ht="18.75" customHeight="1" x14ac:dyDescent="0.25">
      <c r="A43" s="57" t="s">
        <v>46</v>
      </c>
      <c r="B43" s="53"/>
      <c r="C43" s="58">
        <v>5370</v>
      </c>
      <c r="D43" s="53"/>
      <c r="E43" s="1"/>
      <c r="F43" s="53"/>
      <c r="G43" s="59">
        <f t="shared" si="0"/>
        <v>0</v>
      </c>
      <c r="H43" s="53"/>
      <c r="I43" s="53"/>
      <c r="J43" s="53"/>
      <c r="K43" s="53"/>
      <c r="L43" s="29"/>
      <c r="M43" s="29"/>
    </row>
    <row r="44" spans="1:13" ht="18.75" customHeight="1" x14ac:dyDescent="0.25">
      <c r="A44" s="57" t="s">
        <v>47</v>
      </c>
      <c r="B44" s="53"/>
      <c r="C44" s="58">
        <v>942</v>
      </c>
      <c r="D44" s="53"/>
      <c r="E44" s="1"/>
      <c r="F44" s="53"/>
      <c r="G44" s="59">
        <f t="shared" si="0"/>
        <v>0</v>
      </c>
      <c r="H44" s="53"/>
      <c r="I44" s="53"/>
      <c r="J44" s="53"/>
      <c r="K44" s="53"/>
      <c r="L44" s="29"/>
      <c r="M44" s="29"/>
    </row>
    <row r="45" spans="1:13" ht="18.75" customHeight="1" x14ac:dyDescent="0.25">
      <c r="A45" s="57" t="s">
        <v>48</v>
      </c>
      <c r="B45" s="53"/>
      <c r="C45" s="58">
        <v>917</v>
      </c>
      <c r="D45" s="53"/>
      <c r="E45" s="1"/>
      <c r="F45" s="53"/>
      <c r="G45" s="59">
        <f t="shared" si="0"/>
        <v>0</v>
      </c>
      <c r="H45" s="53"/>
      <c r="I45" s="53"/>
      <c r="J45" s="53"/>
      <c r="K45" s="53"/>
      <c r="L45" s="29"/>
      <c r="M45" s="29"/>
    </row>
    <row r="46" spans="1:13" ht="18.75" customHeight="1" x14ac:dyDescent="0.25">
      <c r="A46" s="57" t="s">
        <v>49</v>
      </c>
      <c r="B46" s="53"/>
      <c r="C46" s="58">
        <v>2404</v>
      </c>
      <c r="D46" s="53"/>
      <c r="E46" s="1"/>
      <c r="F46" s="53"/>
      <c r="G46" s="59">
        <f t="shared" si="0"/>
        <v>0</v>
      </c>
      <c r="H46" s="53"/>
      <c r="I46" s="53"/>
      <c r="J46" s="53"/>
      <c r="K46" s="53"/>
      <c r="L46" s="29"/>
      <c r="M46" s="29"/>
    </row>
    <row r="47" spans="1:13" ht="18.75" customHeight="1" x14ac:dyDescent="0.25">
      <c r="A47" s="57" t="s">
        <v>50</v>
      </c>
      <c r="B47" s="53"/>
      <c r="C47" s="58">
        <v>3405</v>
      </c>
      <c r="D47" s="53"/>
      <c r="E47" s="1"/>
      <c r="F47" s="53"/>
      <c r="G47" s="59">
        <f t="shared" si="0"/>
        <v>0</v>
      </c>
      <c r="H47" s="53"/>
      <c r="I47" s="53"/>
      <c r="J47" s="53"/>
      <c r="K47" s="53"/>
      <c r="L47" s="29"/>
      <c r="M47" s="29"/>
    </row>
    <row r="48" spans="1:13" ht="18.75" customHeight="1" x14ac:dyDescent="0.25">
      <c r="A48" s="57" t="s">
        <v>51</v>
      </c>
      <c r="B48" s="53"/>
      <c r="C48" s="58">
        <v>4824</v>
      </c>
      <c r="D48" s="53"/>
      <c r="E48" s="1"/>
      <c r="F48" s="53"/>
      <c r="G48" s="59">
        <f t="shared" si="0"/>
        <v>0</v>
      </c>
      <c r="H48" s="53"/>
      <c r="I48" s="53"/>
      <c r="J48" s="53"/>
      <c r="K48" s="53"/>
      <c r="L48" s="29"/>
      <c r="M48" s="29"/>
    </row>
    <row r="49" spans="1:13" ht="18.75" customHeight="1" x14ac:dyDescent="0.25">
      <c r="A49" s="57" t="s">
        <v>52</v>
      </c>
      <c r="B49" s="53"/>
      <c r="C49" s="58">
        <v>1901</v>
      </c>
      <c r="D49" s="53"/>
      <c r="E49" s="1"/>
      <c r="F49" s="53"/>
      <c r="G49" s="59">
        <f t="shared" si="0"/>
        <v>0</v>
      </c>
      <c r="H49" s="53"/>
      <c r="I49" s="53"/>
      <c r="J49" s="53"/>
      <c r="K49" s="53"/>
      <c r="L49" s="29"/>
      <c r="M49" s="29"/>
    </row>
    <row r="50" spans="1:13" ht="18.75" customHeight="1" x14ac:dyDescent="0.25">
      <c r="A50" s="57" t="s">
        <v>53</v>
      </c>
      <c r="B50" s="53"/>
      <c r="C50" s="58">
        <v>3946</v>
      </c>
      <c r="D50" s="53"/>
      <c r="E50" s="1"/>
      <c r="F50" s="53"/>
      <c r="G50" s="59">
        <f t="shared" si="0"/>
        <v>0</v>
      </c>
      <c r="H50" s="53"/>
      <c r="I50" s="53"/>
      <c r="J50" s="53"/>
      <c r="K50" s="53"/>
      <c r="L50" s="29"/>
      <c r="M50" s="29"/>
    </row>
    <row r="51" spans="1:13" ht="18.75" customHeight="1" x14ac:dyDescent="0.25">
      <c r="A51" s="57" t="s">
        <v>54</v>
      </c>
      <c r="B51" s="53"/>
      <c r="C51" s="58">
        <v>2720</v>
      </c>
      <c r="D51" s="53"/>
      <c r="E51" s="1"/>
      <c r="F51" s="53"/>
      <c r="G51" s="59">
        <f t="shared" si="0"/>
        <v>0</v>
      </c>
      <c r="H51" s="53"/>
      <c r="I51" s="53"/>
      <c r="J51" s="53"/>
      <c r="K51" s="53"/>
      <c r="L51" s="29"/>
      <c r="M51" s="29"/>
    </row>
    <row r="52" spans="1:13" ht="18.75" customHeight="1" x14ac:dyDescent="0.25">
      <c r="A52" s="57" t="s">
        <v>55</v>
      </c>
      <c r="B52" s="53"/>
      <c r="C52" s="58">
        <v>842</v>
      </c>
      <c r="D52" s="53"/>
      <c r="E52" s="1"/>
      <c r="F52" s="53"/>
      <c r="G52" s="59">
        <f t="shared" si="0"/>
        <v>0</v>
      </c>
      <c r="H52" s="53"/>
      <c r="I52" s="53"/>
      <c r="J52" s="53"/>
      <c r="K52" s="53"/>
      <c r="L52" s="29"/>
      <c r="M52" s="29"/>
    </row>
    <row r="53" spans="1:13" ht="18.75" customHeight="1" x14ac:dyDescent="0.25">
      <c r="A53" s="57" t="s">
        <v>56</v>
      </c>
      <c r="B53" s="53"/>
      <c r="C53" s="58">
        <v>780</v>
      </c>
      <c r="D53" s="53"/>
      <c r="E53" s="1"/>
      <c r="F53" s="53"/>
      <c r="G53" s="59">
        <f t="shared" si="0"/>
        <v>0</v>
      </c>
      <c r="H53" s="53"/>
      <c r="I53" s="53"/>
      <c r="J53" s="53"/>
      <c r="K53" s="53"/>
      <c r="L53" s="29"/>
      <c r="M53" s="29"/>
    </row>
    <row r="54" spans="1:13" ht="18.75" customHeight="1" x14ac:dyDescent="0.25">
      <c r="A54" s="57" t="s">
        <v>57</v>
      </c>
      <c r="B54" s="53"/>
      <c r="C54" s="58">
        <v>2281</v>
      </c>
      <c r="D54" s="53"/>
      <c r="E54" s="1"/>
      <c r="F54" s="53"/>
      <c r="G54" s="59">
        <f t="shared" si="0"/>
        <v>0</v>
      </c>
      <c r="H54" s="53"/>
      <c r="I54" s="53"/>
      <c r="J54" s="53"/>
      <c r="K54" s="53"/>
      <c r="L54" s="29"/>
      <c r="M54" s="29"/>
    </row>
    <row r="55" spans="1:13" ht="18.75" customHeight="1" x14ac:dyDescent="0.25">
      <c r="A55" s="57" t="s">
        <v>58</v>
      </c>
      <c r="B55" s="53"/>
      <c r="C55" s="58">
        <v>2815</v>
      </c>
      <c r="D55" s="53"/>
      <c r="E55" s="1"/>
      <c r="F55" s="53"/>
      <c r="G55" s="59">
        <f t="shared" si="0"/>
        <v>0</v>
      </c>
      <c r="H55" s="53"/>
      <c r="I55" s="53"/>
      <c r="J55" s="53"/>
      <c r="K55" s="53"/>
      <c r="L55" s="29"/>
      <c r="M55" s="29"/>
    </row>
    <row r="56" spans="1:13" ht="18.75" customHeight="1" x14ac:dyDescent="0.25">
      <c r="A56" s="57" t="s">
        <v>59</v>
      </c>
      <c r="B56" s="53"/>
      <c r="C56" s="58">
        <v>2245</v>
      </c>
      <c r="D56" s="53"/>
      <c r="E56" s="1"/>
      <c r="F56" s="53"/>
      <c r="G56" s="59">
        <f t="shared" si="0"/>
        <v>0</v>
      </c>
      <c r="H56" s="53"/>
      <c r="I56" s="53"/>
      <c r="J56" s="53"/>
      <c r="K56" s="53"/>
      <c r="L56" s="29"/>
      <c r="M56" s="29"/>
    </row>
    <row r="57" spans="1:13" ht="18.75" customHeight="1" x14ac:dyDescent="0.25">
      <c r="A57" s="57" t="s">
        <v>60</v>
      </c>
      <c r="B57" s="53"/>
      <c r="C57" s="58">
        <v>1173</v>
      </c>
      <c r="D57" s="53"/>
      <c r="E57" s="1"/>
      <c r="F57" s="53"/>
      <c r="G57" s="59">
        <f t="shared" si="0"/>
        <v>0</v>
      </c>
      <c r="H57" s="53"/>
      <c r="I57" s="53"/>
      <c r="J57" s="53"/>
      <c r="K57" s="53"/>
      <c r="L57" s="29"/>
      <c r="M57" s="29"/>
    </row>
    <row r="58" spans="1:13" ht="18.75" customHeight="1" x14ac:dyDescent="0.25">
      <c r="A58" s="57" t="s">
        <v>61</v>
      </c>
      <c r="B58" s="53"/>
      <c r="C58" s="58">
        <v>891</v>
      </c>
      <c r="D58" s="53"/>
      <c r="E58" s="1"/>
      <c r="F58" s="53"/>
      <c r="G58" s="59">
        <f t="shared" si="0"/>
        <v>0</v>
      </c>
      <c r="H58" s="53"/>
      <c r="I58" s="53"/>
      <c r="J58" s="53"/>
      <c r="K58" s="53"/>
      <c r="L58" s="29"/>
      <c r="M58" s="29"/>
    </row>
    <row r="59" spans="1:13" ht="18.75" customHeight="1" x14ac:dyDescent="0.25">
      <c r="A59" s="57" t="s">
        <v>62</v>
      </c>
      <c r="B59" s="53"/>
      <c r="C59" s="58">
        <v>800</v>
      </c>
      <c r="D59" s="53"/>
      <c r="E59" s="1"/>
      <c r="F59" s="53"/>
      <c r="G59" s="59">
        <f t="shared" si="0"/>
        <v>0</v>
      </c>
      <c r="H59" s="53"/>
      <c r="I59" s="53"/>
      <c r="J59" s="53"/>
      <c r="K59" s="53"/>
      <c r="L59" s="29"/>
      <c r="M59" s="29"/>
    </row>
    <row r="60" spans="1:13" ht="18.75" customHeight="1" x14ac:dyDescent="0.25">
      <c r="A60" s="57" t="s">
        <v>63</v>
      </c>
      <c r="B60" s="53"/>
      <c r="C60" s="58">
        <v>1520</v>
      </c>
      <c r="D60" s="53"/>
      <c r="E60" s="1"/>
      <c r="F60" s="53"/>
      <c r="G60" s="59">
        <f t="shared" si="0"/>
        <v>0</v>
      </c>
      <c r="H60" s="53"/>
      <c r="I60" s="53"/>
      <c r="J60" s="53"/>
      <c r="K60" s="53"/>
      <c r="L60" s="29"/>
      <c r="M60" s="29"/>
    </row>
    <row r="61" spans="1:13" ht="18.75" customHeight="1" x14ac:dyDescent="0.25">
      <c r="A61" s="57" t="s">
        <v>64</v>
      </c>
      <c r="B61" s="53"/>
      <c r="C61" s="58">
        <v>854</v>
      </c>
      <c r="D61" s="53"/>
      <c r="E61" s="1"/>
      <c r="F61" s="53"/>
      <c r="G61" s="59">
        <f t="shared" si="0"/>
        <v>0</v>
      </c>
      <c r="H61" s="53"/>
      <c r="I61" s="53"/>
      <c r="J61" s="53"/>
      <c r="K61" s="53"/>
      <c r="L61" s="29"/>
      <c r="M61" s="29"/>
    </row>
    <row r="62" spans="1:13" ht="18.75" customHeight="1" x14ac:dyDescent="0.25">
      <c r="A62" s="57" t="s">
        <v>65</v>
      </c>
      <c r="B62" s="53"/>
      <c r="C62" s="58">
        <v>1050</v>
      </c>
      <c r="D62" s="53"/>
      <c r="E62" s="1"/>
      <c r="F62" s="53"/>
      <c r="G62" s="59">
        <f t="shared" si="0"/>
        <v>0</v>
      </c>
      <c r="H62" s="53"/>
      <c r="I62" s="53"/>
      <c r="J62" s="53"/>
      <c r="K62" s="53"/>
      <c r="L62" s="29"/>
      <c r="M62" s="29"/>
    </row>
    <row r="63" spans="1:13" ht="18.75" customHeight="1" x14ac:dyDescent="0.25">
      <c r="A63" s="57" t="s">
        <v>66</v>
      </c>
      <c r="B63" s="53"/>
      <c r="C63" s="58">
        <v>996</v>
      </c>
      <c r="D63" s="53"/>
      <c r="E63" s="1"/>
      <c r="F63" s="53"/>
      <c r="G63" s="59">
        <f t="shared" si="0"/>
        <v>0</v>
      </c>
      <c r="H63" s="53"/>
      <c r="I63" s="53"/>
      <c r="J63" s="53"/>
      <c r="K63" s="53"/>
      <c r="L63" s="29"/>
      <c r="M63" s="29"/>
    </row>
    <row r="64" spans="1:13" ht="18.75" customHeight="1" x14ac:dyDescent="0.25">
      <c r="A64" s="57" t="s">
        <v>67</v>
      </c>
      <c r="B64" s="53"/>
      <c r="C64" s="58">
        <v>2315</v>
      </c>
      <c r="D64" s="53"/>
      <c r="E64" s="1"/>
      <c r="F64" s="53"/>
      <c r="G64" s="59">
        <f t="shared" si="0"/>
        <v>0</v>
      </c>
      <c r="H64" s="53"/>
      <c r="I64" s="53"/>
      <c r="J64" s="53"/>
      <c r="K64" s="53"/>
      <c r="L64" s="29"/>
      <c r="M64" s="29"/>
    </row>
    <row r="65" spans="1:13" ht="18.75" customHeight="1" x14ac:dyDescent="0.25">
      <c r="A65" s="57" t="s">
        <v>68</v>
      </c>
      <c r="B65" s="53"/>
      <c r="C65" s="58">
        <v>942</v>
      </c>
      <c r="D65" s="53"/>
      <c r="E65" s="1"/>
      <c r="F65" s="53"/>
      <c r="G65" s="59">
        <f t="shared" si="0"/>
        <v>0</v>
      </c>
      <c r="H65" s="53"/>
      <c r="I65" s="53"/>
      <c r="J65" s="53"/>
      <c r="K65" s="53"/>
      <c r="L65" s="29"/>
      <c r="M65" s="29"/>
    </row>
    <row r="66" spans="1:13" ht="18.75" customHeight="1" x14ac:dyDescent="0.25">
      <c r="A66" s="57" t="s">
        <v>69</v>
      </c>
      <c r="B66" s="53"/>
      <c r="C66" s="58">
        <v>1200</v>
      </c>
      <c r="D66" s="53"/>
      <c r="E66" s="1"/>
      <c r="F66" s="53"/>
      <c r="G66" s="59">
        <f t="shared" si="0"/>
        <v>0</v>
      </c>
      <c r="H66" s="53"/>
      <c r="I66" s="53"/>
      <c r="J66" s="53"/>
      <c r="K66" s="53"/>
      <c r="L66" s="29"/>
      <c r="M66" s="29"/>
    </row>
    <row r="67" spans="1:13" ht="18.75" customHeight="1" x14ac:dyDescent="0.25">
      <c r="A67" s="57" t="s">
        <v>70</v>
      </c>
      <c r="B67" s="53"/>
      <c r="C67" s="58">
        <v>1235</v>
      </c>
      <c r="D67" s="53"/>
      <c r="E67" s="1"/>
      <c r="F67" s="53"/>
      <c r="G67" s="59">
        <f t="shared" si="0"/>
        <v>0</v>
      </c>
      <c r="H67" s="53"/>
      <c r="I67" s="53"/>
      <c r="J67" s="53"/>
      <c r="K67" s="53"/>
      <c r="L67" s="29"/>
      <c r="M67" s="29"/>
    </row>
    <row r="68" spans="1:13" ht="18.75" customHeight="1" x14ac:dyDescent="0.25">
      <c r="A68" s="57" t="s">
        <v>71</v>
      </c>
      <c r="B68" s="53"/>
      <c r="C68" s="58">
        <v>2884</v>
      </c>
      <c r="D68" s="53"/>
      <c r="E68" s="1"/>
      <c r="F68" s="53"/>
      <c r="G68" s="59">
        <f t="shared" si="0"/>
        <v>0</v>
      </c>
      <c r="H68" s="53"/>
      <c r="I68" s="53"/>
      <c r="J68" s="53"/>
      <c r="K68" s="53"/>
      <c r="L68" s="29"/>
      <c r="M68" s="29"/>
    </row>
    <row r="69" spans="1:13" ht="18.75" customHeight="1" x14ac:dyDescent="0.25">
      <c r="A69" s="57" t="s">
        <v>72</v>
      </c>
      <c r="B69" s="53"/>
      <c r="C69" s="58">
        <v>951</v>
      </c>
      <c r="D69" s="53"/>
      <c r="E69" s="1"/>
      <c r="F69" s="53"/>
      <c r="G69" s="59">
        <f t="shared" si="0"/>
        <v>0</v>
      </c>
      <c r="H69" s="53"/>
      <c r="I69" s="53"/>
      <c r="J69" s="53"/>
      <c r="K69" s="53"/>
      <c r="L69" s="29"/>
      <c r="M69" s="29"/>
    </row>
    <row r="70" spans="1:13" ht="18.75" customHeight="1" x14ac:dyDescent="0.25">
      <c r="A70" s="57" t="s">
        <v>73</v>
      </c>
      <c r="B70" s="53"/>
      <c r="C70" s="58">
        <v>1308</v>
      </c>
      <c r="D70" s="53"/>
      <c r="E70" s="1"/>
      <c r="F70" s="53"/>
      <c r="G70" s="59">
        <f t="shared" si="0"/>
        <v>0</v>
      </c>
      <c r="H70" s="53"/>
      <c r="I70" s="53"/>
      <c r="J70" s="53"/>
      <c r="K70" s="53"/>
      <c r="L70" s="29"/>
      <c r="M70" s="29"/>
    </row>
    <row r="71" spans="1:13" ht="18.75" customHeight="1" x14ac:dyDescent="0.25">
      <c r="A71" s="57" t="s">
        <v>74</v>
      </c>
      <c r="B71" s="53"/>
      <c r="C71" s="58">
        <v>2563</v>
      </c>
      <c r="D71" s="53"/>
      <c r="E71" s="1"/>
      <c r="F71" s="53"/>
      <c r="G71" s="59">
        <f t="shared" si="0"/>
        <v>0</v>
      </c>
      <c r="H71" s="53"/>
      <c r="I71" s="53"/>
      <c r="J71" s="53"/>
      <c r="K71" s="53"/>
      <c r="L71" s="29"/>
      <c r="M71" s="29"/>
    </row>
    <row r="72" spans="1:13" ht="18.75" customHeight="1" x14ac:dyDescent="0.25">
      <c r="A72" s="57" t="s">
        <v>75</v>
      </c>
      <c r="B72" s="53"/>
      <c r="C72" s="58">
        <v>4454</v>
      </c>
      <c r="D72" s="53"/>
      <c r="E72" s="1"/>
      <c r="F72" s="53"/>
      <c r="G72" s="59">
        <f t="shared" si="0"/>
        <v>0</v>
      </c>
      <c r="H72" s="53"/>
      <c r="I72" s="53"/>
      <c r="J72" s="53"/>
      <c r="K72" s="53"/>
      <c r="L72" s="29"/>
      <c r="M72" s="29"/>
    </row>
    <row r="73" spans="1:13" ht="18.75" customHeight="1" x14ac:dyDescent="0.25">
      <c r="A73" s="57" t="s">
        <v>76</v>
      </c>
      <c r="B73" s="53"/>
      <c r="C73" s="58">
        <v>1072</v>
      </c>
      <c r="D73" s="53"/>
      <c r="E73" s="1"/>
      <c r="F73" s="53"/>
      <c r="G73" s="59">
        <f t="shared" si="0"/>
        <v>0</v>
      </c>
      <c r="H73" s="53"/>
      <c r="I73" s="53"/>
      <c r="J73" s="53"/>
      <c r="K73" s="53"/>
      <c r="L73" s="29"/>
      <c r="M73" s="29"/>
    </row>
    <row r="74" spans="1:13" ht="18.75" customHeight="1" x14ac:dyDescent="0.25">
      <c r="A74" s="57" t="s">
        <v>77</v>
      </c>
      <c r="B74" s="53"/>
      <c r="C74" s="58">
        <v>790</v>
      </c>
      <c r="D74" s="53"/>
      <c r="E74" s="1"/>
      <c r="F74" s="53"/>
      <c r="G74" s="59">
        <f t="shared" si="0"/>
        <v>0</v>
      </c>
      <c r="H74" s="53"/>
      <c r="I74" s="53"/>
      <c r="J74" s="53"/>
      <c r="K74" s="53"/>
      <c r="L74" s="29"/>
      <c r="M74" s="29"/>
    </row>
    <row r="75" spans="1:13" ht="18.75" customHeight="1" x14ac:dyDescent="0.25">
      <c r="A75" s="57" t="s">
        <v>78</v>
      </c>
      <c r="B75" s="53"/>
      <c r="C75" s="58">
        <v>4415</v>
      </c>
      <c r="D75" s="53"/>
      <c r="E75" s="1"/>
      <c r="F75" s="53"/>
      <c r="G75" s="59">
        <f t="shared" si="0"/>
        <v>0</v>
      </c>
      <c r="H75" s="53"/>
      <c r="I75" s="53"/>
      <c r="J75" s="53"/>
      <c r="K75" s="53"/>
      <c r="L75" s="29"/>
      <c r="M75" s="29"/>
    </row>
    <row r="76" spans="1:13" ht="18.75" customHeight="1" x14ac:dyDescent="0.25">
      <c r="A76" s="57" t="s">
        <v>79</v>
      </c>
      <c r="B76" s="53"/>
      <c r="C76" s="58">
        <v>868</v>
      </c>
      <c r="D76" s="53"/>
      <c r="E76" s="1"/>
      <c r="F76" s="53"/>
      <c r="G76" s="59">
        <f t="shared" ref="G76:G110" si="1">C76*E76</f>
        <v>0</v>
      </c>
      <c r="H76" s="53"/>
      <c r="I76" s="53"/>
      <c r="J76" s="53"/>
      <c r="K76" s="53"/>
      <c r="L76" s="29"/>
      <c r="M76" s="29"/>
    </row>
    <row r="77" spans="1:13" ht="18.75" customHeight="1" x14ac:dyDescent="0.25">
      <c r="A77" s="57" t="s">
        <v>80</v>
      </c>
      <c r="B77" s="53"/>
      <c r="C77" s="58">
        <v>835</v>
      </c>
      <c r="D77" s="53"/>
      <c r="E77" s="1"/>
      <c r="F77" s="53"/>
      <c r="G77" s="59">
        <f t="shared" si="1"/>
        <v>0</v>
      </c>
      <c r="H77" s="53"/>
      <c r="I77" s="53"/>
      <c r="J77" s="53"/>
      <c r="K77" s="53"/>
      <c r="L77" s="29"/>
      <c r="M77" s="29"/>
    </row>
    <row r="78" spans="1:13" ht="18.75" customHeight="1" x14ac:dyDescent="0.25">
      <c r="A78" s="57" t="s">
        <v>81</v>
      </c>
      <c r="B78" s="53"/>
      <c r="C78" s="58">
        <v>1053</v>
      </c>
      <c r="D78" s="53"/>
      <c r="E78" s="1"/>
      <c r="F78" s="53"/>
      <c r="G78" s="59">
        <f t="shared" si="1"/>
        <v>0</v>
      </c>
      <c r="H78" s="53"/>
      <c r="I78" s="53"/>
      <c r="J78" s="53"/>
      <c r="K78" s="53"/>
      <c r="L78" s="29"/>
      <c r="M78" s="29"/>
    </row>
    <row r="79" spans="1:13" ht="18.75" customHeight="1" x14ac:dyDescent="0.25">
      <c r="A79" s="57" t="s">
        <v>82</v>
      </c>
      <c r="B79" s="53"/>
      <c r="C79" s="58">
        <v>1760</v>
      </c>
      <c r="D79" s="53"/>
      <c r="E79" s="1"/>
      <c r="F79" s="53"/>
      <c r="G79" s="59">
        <f t="shared" si="1"/>
        <v>0</v>
      </c>
      <c r="H79" s="53"/>
      <c r="I79" s="53"/>
      <c r="J79" s="53"/>
      <c r="K79" s="53"/>
      <c r="L79" s="29"/>
      <c r="M79" s="29"/>
    </row>
    <row r="80" spans="1:13" ht="18.75" customHeight="1" x14ac:dyDescent="0.25">
      <c r="A80" s="57" t="s">
        <v>83</v>
      </c>
      <c r="B80" s="53"/>
      <c r="C80" s="58">
        <v>680</v>
      </c>
      <c r="D80" s="53"/>
      <c r="E80" s="1"/>
      <c r="F80" s="53"/>
      <c r="G80" s="59">
        <f t="shared" si="1"/>
        <v>0</v>
      </c>
      <c r="H80" s="53"/>
      <c r="I80" s="53"/>
      <c r="J80" s="53"/>
      <c r="K80" s="53"/>
      <c r="L80" s="29"/>
      <c r="M80" s="29"/>
    </row>
    <row r="81" spans="1:13" ht="18.75" customHeight="1" x14ac:dyDescent="0.25">
      <c r="A81" s="57" t="s">
        <v>84</v>
      </c>
      <c r="B81" s="53"/>
      <c r="C81" s="58">
        <v>1945</v>
      </c>
      <c r="D81" s="53"/>
      <c r="E81" s="1"/>
      <c r="F81" s="53"/>
      <c r="G81" s="59">
        <f t="shared" si="1"/>
        <v>0</v>
      </c>
      <c r="H81" s="53"/>
      <c r="I81" s="53"/>
      <c r="J81" s="53"/>
      <c r="K81" s="53"/>
      <c r="L81" s="29"/>
      <c r="M81" s="29"/>
    </row>
    <row r="82" spans="1:13" ht="18.75" customHeight="1" x14ac:dyDescent="0.25">
      <c r="A82" s="57" t="s">
        <v>85</v>
      </c>
      <c r="B82" s="53"/>
      <c r="C82" s="58">
        <v>5436</v>
      </c>
      <c r="D82" s="53"/>
      <c r="E82" s="1"/>
      <c r="F82" s="53"/>
      <c r="G82" s="59">
        <f t="shared" si="1"/>
        <v>0</v>
      </c>
      <c r="H82" s="53"/>
      <c r="I82" s="53"/>
      <c r="J82" s="53"/>
      <c r="K82" s="53"/>
      <c r="L82" s="29"/>
      <c r="M82" s="29"/>
    </row>
    <row r="83" spans="1:13" ht="18.75" customHeight="1" x14ac:dyDescent="0.25">
      <c r="A83" s="57" t="s">
        <v>86</v>
      </c>
      <c r="B83" s="53"/>
      <c r="C83" s="58">
        <v>2189</v>
      </c>
      <c r="D83" s="53"/>
      <c r="E83" s="1"/>
      <c r="F83" s="53"/>
      <c r="G83" s="59">
        <f t="shared" si="1"/>
        <v>0</v>
      </c>
      <c r="H83" s="53"/>
      <c r="I83" s="53"/>
      <c r="J83" s="53"/>
      <c r="K83" s="53"/>
      <c r="L83" s="29"/>
      <c r="M83" s="29"/>
    </row>
    <row r="84" spans="1:13" ht="18.75" customHeight="1" x14ac:dyDescent="0.25">
      <c r="A84" s="57" t="s">
        <v>87</v>
      </c>
      <c r="B84" s="53"/>
      <c r="C84" s="58">
        <v>1447</v>
      </c>
      <c r="D84" s="53"/>
      <c r="E84" s="1"/>
      <c r="F84" s="53"/>
      <c r="G84" s="59">
        <f t="shared" si="1"/>
        <v>0</v>
      </c>
      <c r="H84" s="53"/>
      <c r="I84" s="53"/>
      <c r="J84" s="53"/>
      <c r="K84" s="53"/>
      <c r="L84" s="29"/>
      <c r="M84" s="29"/>
    </row>
    <row r="85" spans="1:13" ht="18.75" customHeight="1" x14ac:dyDescent="0.25">
      <c r="A85" s="57" t="s">
        <v>88</v>
      </c>
      <c r="B85" s="53"/>
      <c r="C85" s="58">
        <v>5769</v>
      </c>
      <c r="D85" s="53"/>
      <c r="E85" s="1"/>
      <c r="F85" s="53"/>
      <c r="G85" s="59">
        <f t="shared" si="1"/>
        <v>0</v>
      </c>
      <c r="H85" s="53"/>
      <c r="I85" s="53"/>
      <c r="J85" s="53"/>
      <c r="K85" s="53"/>
      <c r="L85" s="29"/>
      <c r="M85" s="29"/>
    </row>
    <row r="86" spans="1:13" ht="18.75" customHeight="1" x14ac:dyDescent="0.25">
      <c r="A86" s="57" t="s">
        <v>89</v>
      </c>
      <c r="B86" s="53"/>
      <c r="C86" s="58">
        <v>850</v>
      </c>
      <c r="D86" s="53"/>
      <c r="E86" s="1"/>
      <c r="F86" s="53"/>
      <c r="G86" s="59">
        <f t="shared" si="1"/>
        <v>0</v>
      </c>
      <c r="H86" s="53"/>
      <c r="I86" s="53"/>
      <c r="J86" s="53"/>
      <c r="K86" s="53"/>
      <c r="L86" s="29"/>
      <c r="M86" s="29"/>
    </row>
    <row r="87" spans="1:13" ht="18.75" customHeight="1" x14ac:dyDescent="0.25">
      <c r="A87" s="57" t="s">
        <v>90</v>
      </c>
      <c r="B87" s="53"/>
      <c r="C87" s="58">
        <v>2314</v>
      </c>
      <c r="D87" s="53"/>
      <c r="E87" s="1"/>
      <c r="F87" s="53"/>
      <c r="G87" s="59">
        <f t="shared" si="1"/>
        <v>0</v>
      </c>
      <c r="H87" s="53"/>
      <c r="I87" s="53"/>
      <c r="J87" s="53"/>
      <c r="K87" s="53"/>
      <c r="L87" s="29"/>
      <c r="M87" s="29"/>
    </row>
    <row r="88" spans="1:13" ht="18.75" customHeight="1" x14ac:dyDescent="0.25">
      <c r="A88" s="57" t="s">
        <v>91</v>
      </c>
      <c r="B88" s="53"/>
      <c r="C88" s="58">
        <v>1470</v>
      </c>
      <c r="D88" s="53"/>
      <c r="E88" s="1"/>
      <c r="F88" s="53"/>
      <c r="G88" s="59">
        <f t="shared" si="1"/>
        <v>0</v>
      </c>
      <c r="H88" s="53"/>
      <c r="I88" s="53"/>
      <c r="J88" s="53"/>
      <c r="K88" s="53"/>
      <c r="L88" s="29"/>
      <c r="M88" s="29"/>
    </row>
    <row r="89" spans="1:13" ht="18.75" customHeight="1" x14ac:dyDescent="0.25">
      <c r="A89" s="57" t="s">
        <v>92</v>
      </c>
      <c r="B89" s="53"/>
      <c r="C89" s="58">
        <v>2265</v>
      </c>
      <c r="D89" s="53"/>
      <c r="E89" s="1"/>
      <c r="F89" s="53"/>
      <c r="G89" s="59">
        <f t="shared" si="1"/>
        <v>0</v>
      </c>
      <c r="H89" s="53"/>
      <c r="I89" s="53"/>
      <c r="J89" s="53"/>
      <c r="K89" s="53"/>
      <c r="L89" s="29"/>
      <c r="M89" s="29"/>
    </row>
    <row r="90" spans="1:13" ht="18.75" customHeight="1" x14ac:dyDescent="0.25">
      <c r="A90" s="57" t="s">
        <v>93</v>
      </c>
      <c r="B90" s="53"/>
      <c r="C90" s="58">
        <v>1800</v>
      </c>
      <c r="D90" s="53"/>
      <c r="E90" s="1"/>
      <c r="F90" s="53"/>
      <c r="G90" s="59">
        <f t="shared" si="1"/>
        <v>0</v>
      </c>
      <c r="H90" s="53"/>
      <c r="I90" s="53"/>
      <c r="J90" s="53"/>
      <c r="K90" s="53"/>
      <c r="L90" s="29"/>
      <c r="M90" s="29"/>
    </row>
    <row r="91" spans="1:13" ht="18.75" customHeight="1" x14ac:dyDescent="0.25">
      <c r="A91" s="57" t="s">
        <v>94</v>
      </c>
      <c r="B91" s="53"/>
      <c r="C91" s="58">
        <v>22458</v>
      </c>
      <c r="D91" s="53"/>
      <c r="E91" s="1"/>
      <c r="F91" s="53"/>
      <c r="G91" s="59">
        <f t="shared" si="1"/>
        <v>0</v>
      </c>
      <c r="H91" s="53"/>
      <c r="I91" s="53"/>
      <c r="J91" s="53"/>
      <c r="K91" s="53"/>
      <c r="L91" s="29"/>
      <c r="M91" s="29"/>
    </row>
    <row r="92" spans="1:13" ht="18.75" customHeight="1" x14ac:dyDescent="0.25">
      <c r="A92" s="57" t="s">
        <v>95</v>
      </c>
      <c r="B92" s="53"/>
      <c r="C92" s="58">
        <v>6480</v>
      </c>
      <c r="D92" s="53"/>
      <c r="E92" s="1"/>
      <c r="F92" s="53"/>
      <c r="G92" s="59">
        <f t="shared" si="1"/>
        <v>0</v>
      </c>
      <c r="H92" s="53"/>
      <c r="I92" s="53"/>
      <c r="J92" s="53"/>
      <c r="K92" s="53"/>
      <c r="L92" s="29"/>
      <c r="M92" s="29"/>
    </row>
    <row r="93" spans="1:13" ht="18.75" customHeight="1" x14ac:dyDescent="0.25">
      <c r="A93" s="57" t="s">
        <v>96</v>
      </c>
      <c r="B93" s="53"/>
      <c r="C93" s="58">
        <v>3240</v>
      </c>
      <c r="D93" s="53"/>
      <c r="E93" s="1"/>
      <c r="F93" s="53"/>
      <c r="G93" s="59">
        <f t="shared" si="1"/>
        <v>0</v>
      </c>
      <c r="H93" s="53"/>
      <c r="I93" s="53"/>
      <c r="J93" s="53"/>
      <c r="K93" s="53"/>
      <c r="L93" s="29"/>
      <c r="M93" s="29"/>
    </row>
    <row r="94" spans="1:13" ht="18.75" customHeight="1" x14ac:dyDescent="0.25">
      <c r="A94" s="57" t="s">
        <v>97</v>
      </c>
      <c r="B94" s="53"/>
      <c r="C94" s="58">
        <v>4320</v>
      </c>
      <c r="D94" s="53"/>
      <c r="E94" s="1"/>
      <c r="F94" s="53"/>
      <c r="G94" s="59">
        <f t="shared" si="1"/>
        <v>0</v>
      </c>
      <c r="H94" s="53"/>
      <c r="I94" s="53"/>
      <c r="J94" s="53"/>
      <c r="K94" s="53"/>
      <c r="L94" s="29"/>
      <c r="M94" s="29"/>
    </row>
    <row r="95" spans="1:13" ht="18.75" customHeight="1" x14ac:dyDescent="0.25">
      <c r="A95" s="57" t="s">
        <v>98</v>
      </c>
      <c r="B95" s="53"/>
      <c r="C95" s="58">
        <v>3225</v>
      </c>
      <c r="D95" s="53"/>
      <c r="E95" s="1"/>
      <c r="F95" s="53"/>
      <c r="G95" s="59">
        <f t="shared" si="1"/>
        <v>0</v>
      </c>
      <c r="H95" s="53"/>
      <c r="I95" s="53"/>
      <c r="J95" s="53"/>
      <c r="K95" s="53"/>
      <c r="L95" s="29"/>
      <c r="M95" s="29"/>
    </row>
    <row r="96" spans="1:13" ht="18.75" customHeight="1" x14ac:dyDescent="0.25">
      <c r="A96" s="57" t="s">
        <v>99</v>
      </c>
      <c r="B96" s="53"/>
      <c r="C96" s="58">
        <v>862</v>
      </c>
      <c r="D96" s="53"/>
      <c r="E96" s="1"/>
      <c r="F96" s="53"/>
      <c r="G96" s="59">
        <f t="shared" si="1"/>
        <v>0</v>
      </c>
      <c r="H96" s="53"/>
      <c r="I96" s="53"/>
      <c r="J96" s="53"/>
      <c r="K96" s="53"/>
      <c r="L96" s="29"/>
      <c r="M96" s="29"/>
    </row>
    <row r="97" spans="1:13" ht="18.75" customHeight="1" x14ac:dyDescent="0.25">
      <c r="A97" s="57" t="s">
        <v>100</v>
      </c>
      <c r="B97" s="53"/>
      <c r="C97" s="58">
        <v>1620</v>
      </c>
      <c r="D97" s="53"/>
      <c r="E97" s="1"/>
      <c r="F97" s="53"/>
      <c r="G97" s="59">
        <f t="shared" si="1"/>
        <v>0</v>
      </c>
      <c r="H97" s="53"/>
      <c r="I97" s="53"/>
      <c r="J97" s="53"/>
      <c r="K97" s="53"/>
      <c r="L97" s="29"/>
      <c r="M97" s="29"/>
    </row>
    <row r="98" spans="1:13" ht="18.75" customHeight="1" x14ac:dyDescent="0.25">
      <c r="A98" s="57" t="s">
        <v>101</v>
      </c>
      <c r="B98" s="53"/>
      <c r="C98" s="58">
        <v>4304</v>
      </c>
      <c r="D98" s="53"/>
      <c r="E98" s="1"/>
      <c r="F98" s="53"/>
      <c r="G98" s="59">
        <f t="shared" si="1"/>
        <v>0</v>
      </c>
      <c r="H98" s="53"/>
      <c r="I98" s="53"/>
      <c r="J98" s="53"/>
      <c r="K98" s="53"/>
      <c r="L98" s="29"/>
      <c r="M98" s="29"/>
    </row>
    <row r="99" spans="1:13" ht="18.75" customHeight="1" x14ac:dyDescent="0.25">
      <c r="A99" s="57" t="s">
        <v>102</v>
      </c>
      <c r="B99" s="53"/>
      <c r="C99" s="58">
        <v>3219</v>
      </c>
      <c r="D99" s="53"/>
      <c r="E99" s="1"/>
      <c r="F99" s="53"/>
      <c r="G99" s="59">
        <f t="shared" si="1"/>
        <v>0</v>
      </c>
      <c r="H99" s="53"/>
      <c r="I99" s="53"/>
      <c r="J99" s="53"/>
      <c r="K99" s="53"/>
      <c r="L99" s="29"/>
      <c r="M99" s="29"/>
    </row>
    <row r="100" spans="1:13" ht="18.75" customHeight="1" x14ac:dyDescent="0.25">
      <c r="A100" s="57" t="s">
        <v>103</v>
      </c>
      <c r="B100" s="53"/>
      <c r="C100" s="58">
        <v>2343</v>
      </c>
      <c r="D100" s="53"/>
      <c r="E100" s="1"/>
      <c r="F100" s="53"/>
      <c r="G100" s="59">
        <f t="shared" si="1"/>
        <v>0</v>
      </c>
      <c r="H100" s="53"/>
      <c r="I100" s="53"/>
      <c r="J100" s="53"/>
      <c r="K100" s="53"/>
      <c r="L100" s="29"/>
      <c r="M100" s="29"/>
    </row>
    <row r="101" spans="1:13" ht="18.75" customHeight="1" x14ac:dyDescent="0.25">
      <c r="A101" s="57" t="s">
        <v>104</v>
      </c>
      <c r="B101" s="53"/>
      <c r="C101" s="58">
        <v>2623</v>
      </c>
      <c r="D101" s="53"/>
      <c r="E101" s="1"/>
      <c r="F101" s="53"/>
      <c r="G101" s="59">
        <f t="shared" si="1"/>
        <v>0</v>
      </c>
      <c r="H101" s="53"/>
      <c r="I101" s="53"/>
      <c r="J101" s="53"/>
      <c r="K101" s="53"/>
      <c r="L101" s="29"/>
      <c r="M101" s="29"/>
    </row>
    <row r="102" spans="1:13" ht="18.75" customHeight="1" x14ac:dyDescent="0.25">
      <c r="A102" s="57" t="s">
        <v>105</v>
      </c>
      <c r="B102" s="53"/>
      <c r="C102" s="58">
        <v>8265</v>
      </c>
      <c r="D102" s="53"/>
      <c r="E102" s="1"/>
      <c r="F102" s="53"/>
      <c r="G102" s="59">
        <f t="shared" si="1"/>
        <v>0</v>
      </c>
      <c r="H102" s="53"/>
      <c r="I102" s="53"/>
      <c r="J102" s="53"/>
      <c r="K102" s="53"/>
      <c r="L102" s="29"/>
      <c r="M102" s="29"/>
    </row>
    <row r="103" spans="1:13" ht="18.75" customHeight="1" x14ac:dyDescent="0.25">
      <c r="A103" s="57" t="s">
        <v>106</v>
      </c>
      <c r="B103" s="53"/>
      <c r="C103" s="58">
        <v>1871</v>
      </c>
      <c r="D103" s="53"/>
      <c r="E103" s="1"/>
      <c r="F103" s="53"/>
      <c r="G103" s="59">
        <f t="shared" si="1"/>
        <v>0</v>
      </c>
      <c r="H103" s="53"/>
      <c r="I103" s="53"/>
      <c r="J103" s="53"/>
      <c r="K103" s="53"/>
      <c r="L103" s="29"/>
      <c r="M103" s="29"/>
    </row>
    <row r="104" spans="1:13" ht="18.75" customHeight="1" x14ac:dyDescent="0.25">
      <c r="A104" s="57" t="s">
        <v>107</v>
      </c>
      <c r="B104" s="53"/>
      <c r="C104" s="58">
        <v>1850</v>
      </c>
      <c r="D104" s="53"/>
      <c r="E104" s="1"/>
      <c r="F104" s="53"/>
      <c r="G104" s="59">
        <f t="shared" si="1"/>
        <v>0</v>
      </c>
      <c r="H104" s="53"/>
      <c r="I104" s="53"/>
      <c r="J104" s="53"/>
      <c r="K104" s="53"/>
      <c r="L104" s="29"/>
      <c r="M104" s="29"/>
    </row>
    <row r="105" spans="1:13" ht="18.75" customHeight="1" x14ac:dyDescent="0.25">
      <c r="A105" s="57" t="s">
        <v>108</v>
      </c>
      <c r="B105" s="53"/>
      <c r="C105" s="58">
        <v>1793</v>
      </c>
      <c r="D105" s="53"/>
      <c r="E105" s="1"/>
      <c r="F105" s="53"/>
      <c r="G105" s="59">
        <f t="shared" si="1"/>
        <v>0</v>
      </c>
      <c r="H105" s="53"/>
      <c r="I105" s="53"/>
      <c r="J105" s="53"/>
      <c r="K105" s="53"/>
      <c r="L105" s="29"/>
      <c r="M105" s="29"/>
    </row>
    <row r="106" spans="1:13" ht="18.75" customHeight="1" x14ac:dyDescent="0.25">
      <c r="A106" s="57" t="s">
        <v>109</v>
      </c>
      <c r="B106" s="53"/>
      <c r="C106" s="58">
        <v>3532</v>
      </c>
      <c r="D106" s="53"/>
      <c r="E106" s="1"/>
      <c r="F106" s="53"/>
      <c r="G106" s="59">
        <f t="shared" si="1"/>
        <v>0</v>
      </c>
      <c r="H106" s="53"/>
      <c r="I106" s="53"/>
      <c r="J106" s="53"/>
      <c r="K106" s="53"/>
      <c r="L106" s="29"/>
      <c r="M106" s="29"/>
    </row>
    <row r="107" spans="1:13" ht="18.75" customHeight="1" x14ac:dyDescent="0.25">
      <c r="A107" s="57" t="s">
        <v>110</v>
      </c>
      <c r="B107" s="53"/>
      <c r="C107" s="58">
        <v>1041</v>
      </c>
      <c r="D107" s="53"/>
      <c r="E107" s="1"/>
      <c r="F107" s="53"/>
      <c r="G107" s="59">
        <f t="shared" si="1"/>
        <v>0</v>
      </c>
      <c r="H107" s="53"/>
      <c r="I107" s="53"/>
      <c r="J107" s="53"/>
      <c r="K107" s="53"/>
      <c r="L107" s="29"/>
      <c r="M107" s="29"/>
    </row>
    <row r="108" spans="1:13" ht="18.75" customHeight="1" x14ac:dyDescent="0.25">
      <c r="A108" s="57" t="s">
        <v>111</v>
      </c>
      <c r="B108" s="53"/>
      <c r="C108" s="58">
        <v>4980</v>
      </c>
      <c r="D108" s="53"/>
      <c r="E108" s="1"/>
      <c r="F108" s="53"/>
      <c r="G108" s="59">
        <f t="shared" si="1"/>
        <v>0</v>
      </c>
      <c r="H108" s="53"/>
      <c r="I108" s="53"/>
      <c r="J108" s="53"/>
      <c r="K108" s="53"/>
      <c r="L108" s="29"/>
      <c r="M108" s="29"/>
    </row>
    <row r="109" spans="1:13" ht="18.75" customHeight="1" x14ac:dyDescent="0.25">
      <c r="A109" s="57" t="s">
        <v>112</v>
      </c>
      <c r="B109" s="53"/>
      <c r="C109" s="58">
        <v>503</v>
      </c>
      <c r="D109" s="53"/>
      <c r="E109" s="1"/>
      <c r="F109" s="53"/>
      <c r="G109" s="59">
        <f t="shared" si="1"/>
        <v>0</v>
      </c>
      <c r="H109" s="53"/>
      <c r="I109" s="53"/>
      <c r="J109" s="53"/>
      <c r="K109" s="53"/>
      <c r="L109" s="29"/>
      <c r="M109" s="29"/>
    </row>
    <row r="110" spans="1:13" ht="18.75" customHeight="1" x14ac:dyDescent="0.25">
      <c r="A110" s="57" t="s">
        <v>113</v>
      </c>
      <c r="B110" s="53"/>
      <c r="C110" s="58">
        <v>926</v>
      </c>
      <c r="D110" s="53"/>
      <c r="E110" s="2"/>
      <c r="F110" s="53"/>
      <c r="G110" s="59">
        <f t="shared" si="1"/>
        <v>0</v>
      </c>
      <c r="H110" s="53"/>
      <c r="I110" s="53"/>
      <c r="J110" s="53"/>
      <c r="K110" s="53"/>
      <c r="L110" s="29"/>
      <c r="M110" s="29"/>
    </row>
    <row r="111" spans="1:13" ht="18.75" customHeight="1" x14ac:dyDescent="0.25">
      <c r="A111" s="57"/>
      <c r="B111" s="53"/>
      <c r="C111" s="58"/>
      <c r="D111" s="53"/>
      <c r="E111" s="60"/>
      <c r="F111" s="53"/>
      <c r="G111" s="59"/>
      <c r="H111" s="53"/>
      <c r="I111" s="53"/>
      <c r="J111" s="53"/>
      <c r="K111" s="53"/>
      <c r="L111" s="29"/>
      <c r="M111" s="29"/>
    </row>
    <row r="112" spans="1:13" ht="18.75" customHeight="1" x14ac:dyDescent="0.25">
      <c r="A112" s="109" t="s">
        <v>513</v>
      </c>
      <c r="B112" s="109"/>
      <c r="C112" s="109"/>
      <c r="D112" s="109"/>
      <c r="E112" s="109"/>
      <c r="F112" s="53"/>
      <c r="G112" s="61">
        <f>SUM(G11:G110)</f>
        <v>0</v>
      </c>
      <c r="H112" s="53" t="s">
        <v>693</v>
      </c>
      <c r="I112" s="53"/>
      <c r="J112" s="53"/>
      <c r="K112" s="53"/>
      <c r="L112" s="29"/>
      <c r="M112" s="29"/>
    </row>
    <row r="113" spans="1:13" ht="18.75" customHeight="1" x14ac:dyDescent="0.25">
      <c r="A113" s="62" t="s">
        <v>689</v>
      </c>
      <c r="B113" s="62"/>
      <c r="C113" s="5"/>
      <c r="D113" s="62"/>
      <c r="E113" s="62" t="s">
        <v>690</v>
      </c>
      <c r="F113" s="53"/>
      <c r="G113" s="63">
        <f>C113*12</f>
        <v>0</v>
      </c>
      <c r="H113" s="53" t="s">
        <v>694</v>
      </c>
      <c r="I113" s="53"/>
      <c r="J113" s="53"/>
      <c r="K113" s="53"/>
      <c r="L113" s="29"/>
      <c r="M113" s="29"/>
    </row>
    <row r="114" spans="1:13" x14ac:dyDescent="0.25">
      <c r="A114" s="53"/>
      <c r="B114" s="53"/>
      <c r="C114" s="53"/>
      <c r="D114" s="53"/>
      <c r="E114" s="53"/>
      <c r="F114" s="53"/>
      <c r="G114" s="53"/>
      <c r="H114" s="53" t="s">
        <v>691</v>
      </c>
      <c r="I114" s="53"/>
      <c r="J114" s="53"/>
      <c r="K114" s="53"/>
      <c r="L114" s="29"/>
      <c r="M114" s="29"/>
    </row>
    <row r="115" spans="1:13" x14ac:dyDescent="0.25">
      <c r="A115" s="67" t="s">
        <v>696</v>
      </c>
      <c r="B115" s="53"/>
      <c r="C115" s="53"/>
      <c r="D115" s="53"/>
      <c r="E115" s="53"/>
      <c r="F115" s="53"/>
      <c r="G115" s="64">
        <f>G112+G113</f>
        <v>0</v>
      </c>
      <c r="H115" s="53" t="s">
        <v>695</v>
      </c>
      <c r="I115" s="53"/>
      <c r="J115" s="53"/>
      <c r="K115" s="53"/>
      <c r="L115" s="29"/>
      <c r="M115" s="29"/>
    </row>
    <row r="116" spans="1:13" x14ac:dyDescent="0.25">
      <c r="A116" s="67"/>
      <c r="B116" s="53"/>
      <c r="C116" s="53"/>
      <c r="D116" s="53"/>
      <c r="E116" s="53"/>
      <c r="F116" s="53"/>
      <c r="G116" s="65"/>
      <c r="H116" s="53"/>
      <c r="I116" s="53"/>
      <c r="J116" s="53"/>
      <c r="K116" s="53"/>
      <c r="L116" s="29"/>
      <c r="M116" s="29"/>
    </row>
    <row r="117" spans="1:13" ht="15.75" thickBot="1" x14ac:dyDescent="0.3">
      <c r="A117" s="67" t="s">
        <v>697</v>
      </c>
      <c r="B117" s="53"/>
      <c r="C117" s="53"/>
      <c r="D117" s="53"/>
      <c r="E117" s="53"/>
      <c r="F117" s="53"/>
      <c r="G117" s="66">
        <f>G115*5</f>
        <v>0</v>
      </c>
      <c r="H117" s="53" t="s">
        <v>745</v>
      </c>
      <c r="I117" s="53"/>
      <c r="J117" s="53"/>
      <c r="K117" s="53"/>
      <c r="L117" s="29"/>
      <c r="M117" s="29"/>
    </row>
    <row r="118" spans="1:13" x14ac:dyDescent="0.25">
      <c r="A118" s="67"/>
      <c r="B118" s="53"/>
      <c r="C118" s="53"/>
      <c r="D118" s="53"/>
      <c r="E118" s="53"/>
      <c r="F118" s="53"/>
      <c r="G118" s="65" t="s">
        <v>692</v>
      </c>
      <c r="H118" s="53"/>
      <c r="I118" s="53"/>
      <c r="J118" s="53"/>
      <c r="K118" s="53"/>
      <c r="L118" s="29"/>
      <c r="M118" s="29"/>
    </row>
    <row r="119" spans="1:13" x14ac:dyDescent="0.25">
      <c r="A119" s="67"/>
      <c r="B119" s="53"/>
      <c r="C119" s="53"/>
      <c r="D119" s="53"/>
      <c r="E119" s="53"/>
      <c r="F119" s="53"/>
      <c r="G119" s="65" t="s">
        <v>703</v>
      </c>
      <c r="H119" s="53"/>
      <c r="I119" s="53"/>
      <c r="J119" s="53"/>
      <c r="K119" s="53"/>
      <c r="L119" s="29"/>
      <c r="M119" s="29"/>
    </row>
    <row r="120" spans="1:13" x14ac:dyDescent="0.25">
      <c r="A120" s="67"/>
      <c r="B120" s="53"/>
      <c r="C120" s="53"/>
      <c r="D120" s="53"/>
      <c r="E120" s="53"/>
      <c r="F120" s="53"/>
      <c r="G120" s="65"/>
      <c r="H120" s="53"/>
      <c r="I120" s="53"/>
      <c r="J120" s="53"/>
      <c r="K120" s="53"/>
      <c r="L120" s="29"/>
      <c r="M120" s="29"/>
    </row>
    <row r="121" spans="1:13" ht="15.75" x14ac:dyDescent="0.25">
      <c r="A121" s="32" t="s">
        <v>0</v>
      </c>
      <c r="B121" s="29"/>
      <c r="C121" s="29"/>
      <c r="D121" s="29"/>
      <c r="E121" s="29"/>
      <c r="F121" s="29"/>
      <c r="G121" s="29"/>
      <c r="H121" s="29"/>
      <c r="I121" s="29"/>
      <c r="K121" s="29"/>
      <c r="L121" s="29"/>
      <c r="M121" s="29"/>
    </row>
    <row r="122" spans="1:13" x14ac:dyDescent="0.25"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</row>
    <row r="123" spans="1:13" ht="15.75" x14ac:dyDescent="0.25">
      <c r="A123" s="33" t="s">
        <v>1</v>
      </c>
      <c r="B123" s="33"/>
      <c r="C123" s="34"/>
      <c r="D123" s="34"/>
      <c r="E123" s="34"/>
      <c r="F123" s="34"/>
      <c r="G123" s="34"/>
      <c r="H123" s="35" t="s">
        <v>2</v>
      </c>
      <c r="I123" s="36"/>
      <c r="J123" s="34"/>
      <c r="K123" s="29"/>
      <c r="L123" s="29"/>
      <c r="M123" s="29"/>
    </row>
    <row r="124" spans="1:13" ht="24.95" customHeight="1" x14ac:dyDescent="0.25">
      <c r="A124" s="33" t="s">
        <v>3</v>
      </c>
      <c r="B124" s="33"/>
      <c r="C124" s="107"/>
      <c r="D124" s="108"/>
      <c r="E124" s="108"/>
      <c r="F124" s="108"/>
      <c r="G124" s="108"/>
      <c r="H124" s="108"/>
      <c r="I124" s="108"/>
      <c r="J124" s="108"/>
      <c r="K124" s="29"/>
      <c r="L124" s="29"/>
      <c r="M124" s="29"/>
    </row>
    <row r="125" spans="1:13" ht="24.95" customHeight="1" x14ac:dyDescent="0.25">
      <c r="A125" s="33" t="s">
        <v>698</v>
      </c>
      <c r="B125" s="33"/>
      <c r="C125" s="105"/>
      <c r="D125" s="106"/>
      <c r="E125" s="106"/>
      <c r="F125" s="106"/>
      <c r="G125" s="106"/>
      <c r="H125" s="106"/>
      <c r="I125" s="106"/>
      <c r="J125" s="106"/>
      <c r="K125" s="29"/>
      <c r="L125" s="29"/>
      <c r="M125" s="29"/>
    </row>
    <row r="126" spans="1:13" ht="24.95" customHeight="1" x14ac:dyDescent="0.25">
      <c r="A126" s="33" t="s">
        <v>699</v>
      </c>
      <c r="B126" s="33"/>
      <c r="C126" s="105"/>
      <c r="D126" s="106"/>
      <c r="E126" s="106"/>
      <c r="F126" s="106"/>
      <c r="G126" s="106"/>
      <c r="H126" s="106"/>
      <c r="I126" s="106"/>
      <c r="J126" s="106"/>
      <c r="K126" s="29"/>
      <c r="L126" s="29"/>
      <c r="M126" s="29"/>
    </row>
    <row r="127" spans="1:13" ht="24.95" customHeight="1" x14ac:dyDescent="0.25">
      <c r="A127" s="33" t="s">
        <v>700</v>
      </c>
      <c r="B127" s="33"/>
      <c r="C127" s="105"/>
      <c r="D127" s="106"/>
      <c r="E127" s="106"/>
      <c r="F127" s="106"/>
      <c r="G127" s="106"/>
      <c r="H127" s="106"/>
      <c r="I127" s="106"/>
      <c r="J127" s="106"/>
      <c r="K127" s="29"/>
      <c r="L127" s="29"/>
      <c r="M127" s="29"/>
    </row>
    <row r="128" spans="1:13" ht="24.95" customHeight="1" x14ac:dyDescent="0.25">
      <c r="A128" s="33" t="s">
        <v>701</v>
      </c>
      <c r="B128" s="33"/>
      <c r="C128" s="105"/>
      <c r="D128" s="106"/>
      <c r="E128" s="106"/>
      <c r="F128" s="106"/>
      <c r="G128" s="106"/>
      <c r="H128" s="106"/>
      <c r="I128" s="106"/>
      <c r="J128" s="106"/>
      <c r="K128" s="29"/>
      <c r="L128" s="29"/>
      <c r="M128" s="29"/>
    </row>
    <row r="129" spans="1:13" ht="38.25" customHeight="1" x14ac:dyDescent="0.25">
      <c r="A129" s="37" t="s">
        <v>702</v>
      </c>
      <c r="B129" s="33"/>
      <c r="C129" s="107"/>
      <c r="D129" s="108"/>
      <c r="E129" s="108"/>
      <c r="F129" s="108"/>
      <c r="G129" s="108"/>
      <c r="H129" s="108"/>
      <c r="I129" s="108"/>
      <c r="J129" s="108"/>
      <c r="K129" s="29"/>
      <c r="L129" s="29"/>
      <c r="M129" s="29"/>
    </row>
    <row r="130" spans="1:13" ht="24.95" customHeight="1" x14ac:dyDescent="0.25">
      <c r="A130" s="33" t="s">
        <v>4</v>
      </c>
      <c r="B130" s="33"/>
      <c r="C130" s="105"/>
      <c r="D130" s="106"/>
      <c r="E130" s="106"/>
      <c r="F130" s="106"/>
      <c r="G130" s="106"/>
      <c r="H130" s="106"/>
      <c r="I130" s="106"/>
      <c r="J130" s="106"/>
      <c r="K130" s="29"/>
      <c r="L130" s="29"/>
      <c r="M130" s="29"/>
    </row>
    <row r="131" spans="1:13" ht="24.95" customHeight="1" x14ac:dyDescent="0.25">
      <c r="A131" s="33" t="s">
        <v>117</v>
      </c>
      <c r="B131" s="33"/>
      <c r="C131" s="105"/>
      <c r="D131" s="106"/>
      <c r="E131" s="106"/>
      <c r="F131" s="106"/>
      <c r="G131" s="106"/>
      <c r="H131" s="106"/>
      <c r="I131" s="106"/>
      <c r="J131" s="106"/>
      <c r="K131" s="29"/>
      <c r="L131" s="29"/>
      <c r="M131" s="29"/>
    </row>
    <row r="132" spans="1:13" ht="24.95" customHeight="1" x14ac:dyDescent="0.25">
      <c r="A132" s="33"/>
      <c r="B132" s="33"/>
      <c r="C132" s="38"/>
      <c r="D132" s="38"/>
      <c r="E132" s="38"/>
      <c r="F132" s="38"/>
      <c r="G132" s="38"/>
      <c r="H132" s="38"/>
      <c r="I132" s="38"/>
      <c r="J132" s="38"/>
      <c r="K132" s="29"/>
      <c r="L132" s="29"/>
      <c r="M132" s="29"/>
    </row>
    <row r="133" spans="1:13" x14ac:dyDescent="0.2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</row>
    <row r="134" spans="1:13" x14ac:dyDescent="0.2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</row>
    <row r="135" spans="1:13" x14ac:dyDescent="0.2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</row>
    <row r="136" spans="1:13" x14ac:dyDescent="0.2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</row>
    <row r="137" spans="1:13" x14ac:dyDescent="0.2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</row>
    <row r="138" spans="1:13" x14ac:dyDescent="0.2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</row>
    <row r="139" spans="1:13" x14ac:dyDescent="0.2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</row>
    <row r="140" spans="1:13" x14ac:dyDescent="0.2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</row>
    <row r="141" spans="1:13" x14ac:dyDescent="0.2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</row>
    <row r="142" spans="1:13" x14ac:dyDescent="0.2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</row>
    <row r="143" spans="1:13" x14ac:dyDescent="0.2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</row>
    <row r="144" spans="1:13" x14ac:dyDescent="0.2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</row>
    <row r="145" spans="1:13" x14ac:dyDescent="0.2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</row>
    <row r="146" spans="1:13" x14ac:dyDescent="0.2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</row>
    <row r="147" spans="1:13" x14ac:dyDescent="0.2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</row>
    <row r="148" spans="1:13" x14ac:dyDescent="0.2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</row>
    <row r="149" spans="1:13" x14ac:dyDescent="0.2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</row>
    <row r="150" spans="1:13" x14ac:dyDescent="0.2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</row>
    <row r="151" spans="1:13" x14ac:dyDescent="0.2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</row>
    <row r="152" spans="1:13" x14ac:dyDescent="0.2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</row>
    <row r="153" spans="1:13" x14ac:dyDescent="0.25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</row>
    <row r="154" spans="1:13" x14ac:dyDescent="0.25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</row>
    <row r="155" spans="1:13" x14ac:dyDescent="0.25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</row>
    <row r="156" spans="1:13" x14ac:dyDescent="0.25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</row>
    <row r="157" spans="1:13" x14ac:dyDescent="0.25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</row>
    <row r="158" spans="1:13" x14ac:dyDescent="0.25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</row>
    <row r="159" spans="1:13" x14ac:dyDescent="0.25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</row>
    <row r="160" spans="1:13" x14ac:dyDescent="0.25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</row>
    <row r="161" spans="1:13" x14ac:dyDescent="0.25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</row>
    <row r="162" spans="1:13" x14ac:dyDescent="0.25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</row>
    <row r="163" spans="1:13" x14ac:dyDescent="0.25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</row>
    <row r="164" spans="1:13" x14ac:dyDescent="0.25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</row>
    <row r="165" spans="1:13" x14ac:dyDescent="0.25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</row>
    <row r="166" spans="1:13" x14ac:dyDescent="0.25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</row>
    <row r="167" spans="1:13" x14ac:dyDescent="0.25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</row>
    <row r="168" spans="1:13" x14ac:dyDescent="0.25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</row>
    <row r="169" spans="1:13" x14ac:dyDescent="0.25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</row>
    <row r="170" spans="1:13" x14ac:dyDescent="0.25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</row>
    <row r="171" spans="1:13" x14ac:dyDescent="0.25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</row>
    <row r="172" spans="1:13" x14ac:dyDescent="0.25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</row>
    <row r="173" spans="1:13" x14ac:dyDescent="0.25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</row>
    <row r="174" spans="1:13" x14ac:dyDescent="0.25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</row>
    <row r="175" spans="1:13" x14ac:dyDescent="0.25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</row>
    <row r="176" spans="1:13" x14ac:dyDescent="0.25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</row>
    <row r="177" spans="1:13" x14ac:dyDescent="0.25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</row>
    <row r="178" spans="1:13" x14ac:dyDescent="0.25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</row>
    <row r="179" spans="1:13" x14ac:dyDescent="0.25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</row>
    <row r="180" spans="1:13" x14ac:dyDescent="0.25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</row>
    <row r="181" spans="1:13" x14ac:dyDescent="0.25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</row>
    <row r="182" spans="1:13" x14ac:dyDescent="0.25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</row>
    <row r="183" spans="1:13" x14ac:dyDescent="0.25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</row>
    <row r="184" spans="1:13" x14ac:dyDescent="0.25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</row>
    <row r="185" spans="1:13" x14ac:dyDescent="0.25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</row>
    <row r="186" spans="1:13" x14ac:dyDescent="0.25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</row>
    <row r="187" spans="1:13" x14ac:dyDescent="0.25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</row>
    <row r="188" spans="1:13" x14ac:dyDescent="0.25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</row>
    <row r="189" spans="1:13" x14ac:dyDescent="0.25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</row>
    <row r="190" spans="1:13" x14ac:dyDescent="0.25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</row>
    <row r="191" spans="1:13" x14ac:dyDescent="0.25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</row>
    <row r="192" spans="1:13" x14ac:dyDescent="0.25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</row>
    <row r="193" spans="1:13" x14ac:dyDescent="0.25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</row>
    <row r="194" spans="1:13" x14ac:dyDescent="0.25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</row>
    <row r="195" spans="1:13" x14ac:dyDescent="0.25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</row>
    <row r="196" spans="1:13" x14ac:dyDescent="0.25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</row>
    <row r="197" spans="1:13" x14ac:dyDescent="0.25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</row>
    <row r="198" spans="1:13" x14ac:dyDescent="0.25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</row>
    <row r="199" spans="1:13" x14ac:dyDescent="0.25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</row>
    <row r="200" spans="1:13" x14ac:dyDescent="0.25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</row>
    <row r="201" spans="1:13" x14ac:dyDescent="0.25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</row>
    <row r="202" spans="1:13" x14ac:dyDescent="0.25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</row>
    <row r="203" spans="1:13" x14ac:dyDescent="0.25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</row>
    <row r="204" spans="1:13" x14ac:dyDescent="0.25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</row>
    <row r="205" spans="1:13" x14ac:dyDescent="0.2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</row>
    <row r="206" spans="1:13" x14ac:dyDescent="0.25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</row>
    <row r="207" spans="1:13" x14ac:dyDescent="0.25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</row>
    <row r="208" spans="1:13" x14ac:dyDescent="0.25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</row>
    <row r="209" spans="1:13" x14ac:dyDescent="0.25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</row>
    <row r="210" spans="1:13" x14ac:dyDescent="0.25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</row>
    <row r="211" spans="1:13" x14ac:dyDescent="0.25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</row>
    <row r="212" spans="1:13" x14ac:dyDescent="0.25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</row>
    <row r="213" spans="1:13" x14ac:dyDescent="0.25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</row>
    <row r="214" spans="1:13" x14ac:dyDescent="0.2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</row>
    <row r="215" spans="1:13" x14ac:dyDescent="0.25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</row>
    <row r="216" spans="1:13" x14ac:dyDescent="0.25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</row>
    <row r="217" spans="1:13" x14ac:dyDescent="0.25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</row>
    <row r="218" spans="1:13" x14ac:dyDescent="0.25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</row>
    <row r="219" spans="1:13" x14ac:dyDescent="0.25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</row>
    <row r="220" spans="1:13" x14ac:dyDescent="0.25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</row>
    <row r="221" spans="1:13" x14ac:dyDescent="0.25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</row>
    <row r="222" spans="1:13" x14ac:dyDescent="0.25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</row>
    <row r="223" spans="1:13" x14ac:dyDescent="0.25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</row>
    <row r="224" spans="1:13" x14ac:dyDescent="0.25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</row>
    <row r="225" spans="1:13" x14ac:dyDescent="0.25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</row>
    <row r="226" spans="1:13" x14ac:dyDescent="0.25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</row>
    <row r="227" spans="1:13" x14ac:dyDescent="0.25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</row>
    <row r="228" spans="1:13" x14ac:dyDescent="0.25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</row>
    <row r="229" spans="1:13" x14ac:dyDescent="0.25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</row>
    <row r="230" spans="1:13" x14ac:dyDescent="0.25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</row>
    <row r="231" spans="1:13" x14ac:dyDescent="0.25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</row>
    <row r="232" spans="1:13" x14ac:dyDescent="0.25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</row>
    <row r="233" spans="1:13" x14ac:dyDescent="0.25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</row>
    <row r="234" spans="1:13" x14ac:dyDescent="0.25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</row>
    <row r="235" spans="1:13" x14ac:dyDescent="0.25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</row>
    <row r="236" spans="1:13" x14ac:dyDescent="0.25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</row>
    <row r="237" spans="1:13" x14ac:dyDescent="0.25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</row>
    <row r="238" spans="1:13" x14ac:dyDescent="0.25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</row>
    <row r="239" spans="1:13" x14ac:dyDescent="0.25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</row>
    <row r="240" spans="1:13" x14ac:dyDescent="0.25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</row>
    <row r="241" spans="1:13" x14ac:dyDescent="0.25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</row>
    <row r="242" spans="1:13" x14ac:dyDescent="0.25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</row>
    <row r="243" spans="1:13" x14ac:dyDescent="0.25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</row>
    <row r="244" spans="1:13" x14ac:dyDescent="0.25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</row>
    <row r="245" spans="1:13" x14ac:dyDescent="0.25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</row>
    <row r="246" spans="1:13" x14ac:dyDescent="0.25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</row>
    <row r="247" spans="1:13" x14ac:dyDescent="0.25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</row>
    <row r="248" spans="1:13" x14ac:dyDescent="0.25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</row>
    <row r="249" spans="1:13" x14ac:dyDescent="0.25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</row>
    <row r="250" spans="1:13" x14ac:dyDescent="0.25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</row>
    <row r="251" spans="1:13" x14ac:dyDescent="0.25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</row>
    <row r="252" spans="1:13" x14ac:dyDescent="0.25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</row>
    <row r="253" spans="1:13" x14ac:dyDescent="0.25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</row>
    <row r="254" spans="1:13" x14ac:dyDescent="0.25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</row>
  </sheetData>
  <sheetProtection algorithmName="SHA-512" hashValue="AbIlZbo1zNgiQQmQxlt8p+uX2nQ5ngpJfOtyuaRUQk2RZApTFWz/1kxSpuBVQ2R4sDjf8Zn7nCUOrpFOboC4VQ==" saltValue="FmU79F7VOIW710ktSJERNA==" spinCount="100000" sheet="1" objects="1" scenarios="1"/>
  <mergeCells count="9">
    <mergeCell ref="C128:J128"/>
    <mergeCell ref="C129:J129"/>
    <mergeCell ref="C130:J130"/>
    <mergeCell ref="C131:J131"/>
    <mergeCell ref="A112:E112"/>
    <mergeCell ref="C124:J124"/>
    <mergeCell ref="C125:J125"/>
    <mergeCell ref="C126:J126"/>
    <mergeCell ref="C127:J127"/>
  </mergeCells>
  <pageMargins left="0.5" right="0.5" top="0.75" bottom="0.75" header="0.3" footer="0.3"/>
  <pageSetup scale="69" fitToHeight="0" orientation="portrait" r:id="rId1"/>
  <headerFooter>
    <oddFooter>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252"/>
  <sheetViews>
    <sheetView zoomScaleNormal="100" workbookViewId="0">
      <selection activeCell="A143" sqref="A143"/>
    </sheetView>
  </sheetViews>
  <sheetFormatPr defaultRowHeight="15" x14ac:dyDescent="0.25"/>
  <cols>
    <col min="1" max="1" width="42.7109375" style="68" customWidth="1"/>
    <col min="2" max="2" width="3" style="68" customWidth="1"/>
    <col min="3" max="3" width="15.7109375" style="68" customWidth="1"/>
    <col min="4" max="4" width="3.5703125" style="68" customWidth="1"/>
    <col min="5" max="5" width="19.42578125" style="68" customWidth="1"/>
    <col min="6" max="6" width="3.28515625" style="68" customWidth="1"/>
    <col min="7" max="7" width="16.7109375" style="68" customWidth="1"/>
    <col min="8" max="16384" width="9.140625" style="68"/>
  </cols>
  <sheetData>
    <row r="1" spans="1:11" ht="24.95" customHeight="1" x14ac:dyDescent="0.3">
      <c r="A1" s="110" t="s">
        <v>10</v>
      </c>
      <c r="B1" s="110"/>
      <c r="C1" s="110"/>
      <c r="D1" s="110"/>
      <c r="E1" s="110"/>
      <c r="F1" s="110"/>
      <c r="G1" s="110"/>
      <c r="H1" s="110"/>
      <c r="I1" s="111"/>
    </row>
    <row r="2" spans="1:11" ht="24.95" customHeight="1" x14ac:dyDescent="0.35">
      <c r="A2" s="78"/>
      <c r="B2" s="78"/>
      <c r="C2" s="79" t="s">
        <v>11</v>
      </c>
      <c r="D2" s="80"/>
      <c r="E2" s="78"/>
      <c r="F2" s="78"/>
      <c r="G2" s="78"/>
      <c r="H2" s="78"/>
      <c r="I2" s="78"/>
    </row>
    <row r="3" spans="1:11" ht="24.95" customHeight="1" x14ac:dyDescent="0.35">
      <c r="A3" s="78"/>
      <c r="B3" s="81" t="s">
        <v>9</v>
      </c>
      <c r="C3" s="79"/>
      <c r="D3" s="82"/>
      <c r="E3" s="79" t="s">
        <v>118</v>
      </c>
      <c r="F3" s="78"/>
      <c r="G3" s="78"/>
      <c r="H3" s="78"/>
      <c r="I3" s="78"/>
    </row>
    <row r="4" spans="1:11" ht="22.5" customHeight="1" x14ac:dyDescent="0.35">
      <c r="A4" s="78"/>
      <c r="B4" s="81"/>
      <c r="C4" s="83"/>
      <c r="D4" s="78"/>
      <c r="E4" s="84"/>
      <c r="F4" s="84"/>
      <c r="G4" s="78"/>
      <c r="H4" s="78"/>
      <c r="I4" s="78"/>
    </row>
    <row r="5" spans="1:11" ht="18.75" x14ac:dyDescent="0.3">
      <c r="A5" s="85" t="s">
        <v>5</v>
      </c>
      <c r="B5" s="86"/>
      <c r="C5" s="86"/>
      <c r="D5" s="86"/>
      <c r="E5" s="86"/>
      <c r="F5" s="86"/>
      <c r="G5" s="86"/>
      <c r="H5" s="86"/>
      <c r="I5" s="86"/>
      <c r="J5" s="70"/>
      <c r="K5" s="70"/>
    </row>
    <row r="6" spans="1:11" ht="18.75" x14ac:dyDescent="0.3">
      <c r="A6" s="85" t="s">
        <v>6</v>
      </c>
      <c r="B6" s="85"/>
      <c r="C6" s="85"/>
      <c r="D6" s="85"/>
      <c r="E6" s="85"/>
      <c r="F6" s="85"/>
      <c r="G6" s="85"/>
      <c r="H6" s="85"/>
      <c r="I6" s="85"/>
      <c r="J6" s="69"/>
      <c r="K6" s="70"/>
    </row>
    <row r="7" spans="1:11" ht="18.75" x14ac:dyDescent="0.3">
      <c r="A7" s="85" t="s">
        <v>7</v>
      </c>
      <c r="B7" s="85"/>
      <c r="C7" s="85"/>
      <c r="D7" s="85"/>
      <c r="E7" s="85"/>
      <c r="F7" s="85"/>
      <c r="G7" s="85"/>
      <c r="H7" s="85"/>
      <c r="I7" s="85"/>
      <c r="J7" s="69"/>
      <c r="K7" s="70"/>
    </row>
    <row r="8" spans="1:11" ht="18.75" x14ac:dyDescent="0.3">
      <c r="A8" s="85" t="s">
        <v>8</v>
      </c>
      <c r="B8" s="85"/>
      <c r="C8" s="85"/>
      <c r="D8" s="85"/>
      <c r="E8" s="85"/>
      <c r="F8" s="85"/>
      <c r="G8" s="85"/>
      <c r="H8" s="85"/>
      <c r="I8" s="85"/>
      <c r="J8" s="69"/>
      <c r="K8" s="70"/>
    </row>
    <row r="9" spans="1:11" ht="18.75" x14ac:dyDescent="0.3">
      <c r="A9" s="85"/>
      <c r="B9" s="85"/>
      <c r="C9" s="85"/>
      <c r="D9" s="85"/>
      <c r="E9" s="85"/>
      <c r="F9" s="85"/>
      <c r="G9" s="85"/>
      <c r="H9" s="85"/>
      <c r="I9" s="85"/>
      <c r="J9" s="69"/>
      <c r="K9" s="70"/>
    </row>
    <row r="10" spans="1:11" ht="102" customHeight="1" x14ac:dyDescent="0.3">
      <c r="A10" s="54" t="s">
        <v>12</v>
      </c>
      <c r="B10" s="85"/>
      <c r="C10" s="55" t="s">
        <v>687</v>
      </c>
      <c r="D10" s="85"/>
      <c r="E10" s="87" t="s">
        <v>688</v>
      </c>
      <c r="F10" s="85"/>
      <c r="G10" s="87" t="s">
        <v>115</v>
      </c>
      <c r="H10" s="85"/>
      <c r="I10" s="85"/>
      <c r="J10" s="69"/>
      <c r="K10" s="70"/>
    </row>
    <row r="11" spans="1:11" ht="18.75" customHeight="1" x14ac:dyDescent="0.3">
      <c r="A11" s="88" t="s">
        <v>14</v>
      </c>
      <c r="B11" s="89"/>
      <c r="C11" s="90">
        <v>20848</v>
      </c>
      <c r="D11" s="89"/>
      <c r="E11" s="3"/>
      <c r="F11" s="89"/>
      <c r="G11" s="93">
        <f>C11*E11</f>
        <v>0</v>
      </c>
      <c r="H11" s="85"/>
      <c r="I11" s="85"/>
      <c r="J11" s="69"/>
      <c r="K11" s="70"/>
    </row>
    <row r="12" spans="1:11" ht="18.75" customHeight="1" x14ac:dyDescent="0.3">
      <c r="A12" s="88" t="s">
        <v>179</v>
      </c>
      <c r="B12" s="89"/>
      <c r="C12" s="90">
        <v>805</v>
      </c>
      <c r="D12" s="89"/>
      <c r="E12" s="4"/>
      <c r="F12" s="89"/>
      <c r="G12" s="93">
        <f t="shared" ref="G12:G93" si="0">C12*E12</f>
        <v>0</v>
      </c>
      <c r="H12" s="85"/>
      <c r="I12" s="85"/>
      <c r="J12" s="69"/>
      <c r="K12" s="70"/>
    </row>
    <row r="13" spans="1:11" ht="18.75" customHeight="1" x14ac:dyDescent="0.3">
      <c r="A13" s="88" t="s">
        <v>119</v>
      </c>
      <c r="B13" s="89"/>
      <c r="C13" s="90">
        <v>471</v>
      </c>
      <c r="D13" s="89"/>
      <c r="E13" s="4"/>
      <c r="F13" s="89"/>
      <c r="G13" s="93">
        <f t="shared" si="0"/>
        <v>0</v>
      </c>
      <c r="H13" s="85"/>
      <c r="I13" s="85"/>
      <c r="J13" s="69"/>
      <c r="K13" s="70"/>
    </row>
    <row r="14" spans="1:11" s="73" customFormat="1" ht="18.75" customHeight="1" x14ac:dyDescent="0.3">
      <c r="A14" s="88" t="s">
        <v>514</v>
      </c>
      <c r="B14" s="89"/>
      <c r="C14" s="90">
        <v>826</v>
      </c>
      <c r="D14" s="89"/>
      <c r="E14" s="4"/>
      <c r="F14" s="89"/>
      <c r="G14" s="93">
        <f t="shared" si="0"/>
        <v>0</v>
      </c>
      <c r="H14" s="94"/>
      <c r="I14" s="94"/>
      <c r="J14" s="71"/>
      <c r="K14" s="72"/>
    </row>
    <row r="15" spans="1:11" s="73" customFormat="1" ht="18.75" customHeight="1" x14ac:dyDescent="0.3">
      <c r="A15" s="88" t="s">
        <v>515</v>
      </c>
      <c r="B15" s="89"/>
      <c r="C15" s="90">
        <v>625</v>
      </c>
      <c r="D15" s="89"/>
      <c r="E15" s="4"/>
      <c r="F15" s="89"/>
      <c r="G15" s="93">
        <f t="shared" si="0"/>
        <v>0</v>
      </c>
      <c r="H15" s="94"/>
      <c r="I15" s="94"/>
      <c r="J15" s="71"/>
      <c r="K15" s="72"/>
    </row>
    <row r="16" spans="1:11" ht="18.75" customHeight="1" x14ac:dyDescent="0.3">
      <c r="A16" s="88" t="s">
        <v>18</v>
      </c>
      <c r="B16" s="89"/>
      <c r="C16" s="90">
        <v>744</v>
      </c>
      <c r="D16" s="89"/>
      <c r="E16" s="4"/>
      <c r="F16" s="89"/>
      <c r="G16" s="93">
        <f t="shared" si="0"/>
        <v>0</v>
      </c>
      <c r="H16" s="85"/>
      <c r="I16" s="85"/>
      <c r="J16" s="69"/>
      <c r="K16" s="70"/>
    </row>
    <row r="17" spans="1:11" ht="18.75" customHeight="1" x14ac:dyDescent="0.3">
      <c r="A17" s="88" t="s">
        <v>120</v>
      </c>
      <c r="B17" s="89"/>
      <c r="C17" s="90">
        <v>730</v>
      </c>
      <c r="D17" s="89"/>
      <c r="E17" s="4"/>
      <c r="F17" s="89"/>
      <c r="G17" s="93">
        <f t="shared" si="0"/>
        <v>0</v>
      </c>
      <c r="H17" s="85"/>
      <c r="I17" s="85"/>
      <c r="J17" s="69"/>
      <c r="K17" s="70"/>
    </row>
    <row r="18" spans="1:11" s="73" customFormat="1" ht="18.75" customHeight="1" x14ac:dyDescent="0.3">
      <c r="A18" s="88" t="s">
        <v>516</v>
      </c>
      <c r="B18" s="89"/>
      <c r="C18" s="90">
        <v>370</v>
      </c>
      <c r="D18" s="89"/>
      <c r="E18" s="4"/>
      <c r="F18" s="89"/>
      <c r="G18" s="93">
        <f t="shared" si="0"/>
        <v>0</v>
      </c>
      <c r="H18" s="94"/>
      <c r="I18" s="94"/>
      <c r="J18" s="71"/>
      <c r="K18" s="72"/>
    </row>
    <row r="19" spans="1:11" s="73" customFormat="1" ht="18.75" customHeight="1" x14ac:dyDescent="0.3">
      <c r="A19" s="88" t="s">
        <v>22</v>
      </c>
      <c r="B19" s="89"/>
      <c r="C19" s="90">
        <v>557</v>
      </c>
      <c r="D19" s="89"/>
      <c r="E19" s="4"/>
      <c r="F19" s="89"/>
      <c r="G19" s="93">
        <f t="shared" si="0"/>
        <v>0</v>
      </c>
      <c r="H19" s="94"/>
      <c r="I19" s="94"/>
      <c r="J19" s="71"/>
      <c r="K19" s="72"/>
    </row>
    <row r="20" spans="1:11" ht="18.75" customHeight="1" x14ac:dyDescent="0.3">
      <c r="A20" s="88" t="s">
        <v>23</v>
      </c>
      <c r="B20" s="89"/>
      <c r="C20" s="90">
        <v>1337</v>
      </c>
      <c r="D20" s="89"/>
      <c r="E20" s="4"/>
      <c r="F20" s="89"/>
      <c r="G20" s="93">
        <f t="shared" si="0"/>
        <v>0</v>
      </c>
      <c r="H20" s="85"/>
      <c r="I20" s="85"/>
      <c r="J20" s="69"/>
      <c r="K20" s="70"/>
    </row>
    <row r="21" spans="1:11" ht="18.75" customHeight="1" x14ac:dyDescent="0.3">
      <c r="A21" s="88" t="s">
        <v>25</v>
      </c>
      <c r="B21" s="89"/>
      <c r="C21" s="90">
        <v>635</v>
      </c>
      <c r="D21" s="89"/>
      <c r="E21" s="4"/>
      <c r="F21" s="89"/>
      <c r="G21" s="93">
        <f t="shared" si="0"/>
        <v>0</v>
      </c>
      <c r="H21" s="85"/>
      <c r="I21" s="85"/>
      <c r="J21" s="69"/>
      <c r="K21" s="70"/>
    </row>
    <row r="22" spans="1:11" ht="18.75" customHeight="1" x14ac:dyDescent="0.3">
      <c r="A22" s="88" t="s">
        <v>26</v>
      </c>
      <c r="B22" s="89"/>
      <c r="C22" s="90">
        <v>276</v>
      </c>
      <c r="D22" s="89"/>
      <c r="E22" s="4"/>
      <c r="F22" s="89"/>
      <c r="G22" s="93">
        <f t="shared" si="0"/>
        <v>0</v>
      </c>
      <c r="H22" s="85"/>
      <c r="I22" s="85"/>
      <c r="J22" s="69"/>
      <c r="K22" s="70"/>
    </row>
    <row r="23" spans="1:11" ht="18.75" customHeight="1" x14ac:dyDescent="0.3">
      <c r="A23" s="88" t="s">
        <v>28</v>
      </c>
      <c r="B23" s="89"/>
      <c r="C23" s="90">
        <v>6534</v>
      </c>
      <c r="D23" s="89"/>
      <c r="E23" s="4"/>
      <c r="F23" s="89"/>
      <c r="G23" s="93">
        <f t="shared" si="0"/>
        <v>0</v>
      </c>
      <c r="H23" s="85"/>
      <c r="I23" s="85"/>
      <c r="J23" s="69"/>
      <c r="K23" s="70"/>
    </row>
    <row r="24" spans="1:11" ht="18.75" customHeight="1" x14ac:dyDescent="0.3">
      <c r="A24" s="88" t="s">
        <v>29</v>
      </c>
      <c r="B24" s="89"/>
      <c r="C24" s="90">
        <v>1998</v>
      </c>
      <c r="D24" s="89"/>
      <c r="E24" s="4"/>
      <c r="F24" s="89"/>
      <c r="G24" s="93">
        <f t="shared" si="0"/>
        <v>0</v>
      </c>
      <c r="H24" s="85"/>
      <c r="I24" s="85"/>
      <c r="J24" s="69"/>
      <c r="K24" s="70"/>
    </row>
    <row r="25" spans="1:11" ht="18.75" customHeight="1" x14ac:dyDescent="0.3">
      <c r="A25" s="88" t="s">
        <v>121</v>
      </c>
      <c r="B25" s="89"/>
      <c r="C25" s="90">
        <v>900</v>
      </c>
      <c r="D25" s="89"/>
      <c r="E25" s="4"/>
      <c r="F25" s="89"/>
      <c r="G25" s="93">
        <f t="shared" si="0"/>
        <v>0</v>
      </c>
      <c r="H25" s="85"/>
      <c r="I25" s="85"/>
      <c r="J25" s="69"/>
      <c r="K25" s="70"/>
    </row>
    <row r="26" spans="1:11" ht="18.75" customHeight="1" x14ac:dyDescent="0.3">
      <c r="A26" s="88" t="s">
        <v>122</v>
      </c>
      <c r="B26" s="89"/>
      <c r="C26" s="90">
        <v>930</v>
      </c>
      <c r="D26" s="89"/>
      <c r="E26" s="4"/>
      <c r="F26" s="89"/>
      <c r="G26" s="93">
        <f t="shared" si="0"/>
        <v>0</v>
      </c>
      <c r="H26" s="85"/>
      <c r="I26" s="85"/>
      <c r="J26" s="69"/>
      <c r="K26" s="70"/>
    </row>
    <row r="27" spans="1:11" ht="18.75" customHeight="1" x14ac:dyDescent="0.3">
      <c r="A27" s="88" t="s">
        <v>30</v>
      </c>
      <c r="B27" s="89"/>
      <c r="C27" s="90">
        <v>17851</v>
      </c>
      <c r="D27" s="89"/>
      <c r="E27" s="4"/>
      <c r="F27" s="89"/>
      <c r="G27" s="93">
        <f t="shared" si="0"/>
        <v>0</v>
      </c>
      <c r="H27" s="85"/>
      <c r="I27" s="85"/>
      <c r="J27" s="69"/>
      <c r="K27" s="70"/>
    </row>
    <row r="28" spans="1:11" ht="18.75" customHeight="1" x14ac:dyDescent="0.3">
      <c r="A28" s="88" t="s">
        <v>123</v>
      </c>
      <c r="B28" s="89"/>
      <c r="C28" s="90">
        <v>754</v>
      </c>
      <c r="D28" s="89"/>
      <c r="E28" s="4"/>
      <c r="F28" s="89"/>
      <c r="G28" s="93">
        <f t="shared" si="0"/>
        <v>0</v>
      </c>
      <c r="H28" s="85"/>
      <c r="I28" s="85"/>
      <c r="J28" s="69"/>
      <c r="K28" s="70"/>
    </row>
    <row r="29" spans="1:11" s="73" customFormat="1" ht="18.75" customHeight="1" x14ac:dyDescent="0.3">
      <c r="A29" s="88" t="s">
        <v>473</v>
      </c>
      <c r="B29" s="89"/>
      <c r="C29" s="90">
        <v>4915</v>
      </c>
      <c r="D29" s="89"/>
      <c r="E29" s="4"/>
      <c r="F29" s="89"/>
      <c r="G29" s="93">
        <f t="shared" si="0"/>
        <v>0</v>
      </c>
      <c r="H29" s="94"/>
      <c r="I29" s="94"/>
      <c r="J29" s="71"/>
      <c r="K29" s="72"/>
    </row>
    <row r="30" spans="1:11" ht="18.75" customHeight="1" x14ac:dyDescent="0.3">
      <c r="A30" s="88" t="s">
        <v>124</v>
      </c>
      <c r="B30" s="89"/>
      <c r="C30" s="90">
        <v>5446</v>
      </c>
      <c r="D30" s="89"/>
      <c r="E30" s="4"/>
      <c r="F30" s="89"/>
      <c r="G30" s="93">
        <f t="shared" si="0"/>
        <v>0</v>
      </c>
      <c r="H30" s="85"/>
      <c r="I30" s="85"/>
      <c r="J30" s="69"/>
      <c r="K30" s="70"/>
    </row>
    <row r="31" spans="1:11" ht="18.75" customHeight="1" x14ac:dyDescent="0.3">
      <c r="A31" s="88" t="s">
        <v>33</v>
      </c>
      <c r="B31" s="89"/>
      <c r="C31" s="90">
        <v>2592</v>
      </c>
      <c r="D31" s="89"/>
      <c r="E31" s="4"/>
      <c r="F31" s="89"/>
      <c r="G31" s="93">
        <f t="shared" si="0"/>
        <v>0</v>
      </c>
      <c r="H31" s="85"/>
      <c r="I31" s="85"/>
      <c r="J31" s="69"/>
      <c r="K31" s="70"/>
    </row>
    <row r="32" spans="1:11" s="73" customFormat="1" ht="18.75" customHeight="1" x14ac:dyDescent="0.3">
      <c r="A32" s="88" t="s">
        <v>517</v>
      </c>
      <c r="B32" s="89"/>
      <c r="C32" s="90">
        <v>720</v>
      </c>
      <c r="D32" s="89"/>
      <c r="E32" s="4"/>
      <c r="F32" s="89"/>
      <c r="G32" s="93">
        <f t="shared" si="0"/>
        <v>0</v>
      </c>
      <c r="H32" s="94"/>
      <c r="I32" s="94"/>
      <c r="J32" s="71"/>
      <c r="K32" s="72"/>
    </row>
    <row r="33" spans="1:11" ht="18.75" customHeight="1" x14ac:dyDescent="0.3">
      <c r="A33" s="88" t="s">
        <v>125</v>
      </c>
      <c r="B33" s="89"/>
      <c r="C33" s="90">
        <v>1431</v>
      </c>
      <c r="D33" s="89"/>
      <c r="E33" s="4"/>
      <c r="F33" s="89"/>
      <c r="G33" s="93">
        <f t="shared" si="0"/>
        <v>0</v>
      </c>
      <c r="H33" s="85"/>
      <c r="I33" s="85"/>
      <c r="J33" s="69"/>
      <c r="K33" s="70"/>
    </row>
    <row r="34" spans="1:11" ht="18.75" customHeight="1" x14ac:dyDescent="0.3">
      <c r="A34" s="88" t="s">
        <v>126</v>
      </c>
      <c r="B34" s="89"/>
      <c r="C34" s="90">
        <v>1422</v>
      </c>
      <c r="D34" s="89"/>
      <c r="E34" s="4"/>
      <c r="F34" s="89"/>
      <c r="G34" s="93">
        <f t="shared" si="0"/>
        <v>0</v>
      </c>
      <c r="H34" s="85"/>
      <c r="I34" s="85"/>
      <c r="J34" s="69"/>
      <c r="K34" s="70"/>
    </row>
    <row r="35" spans="1:11" ht="18.75" customHeight="1" x14ac:dyDescent="0.3">
      <c r="A35" s="88" t="s">
        <v>518</v>
      </c>
      <c r="B35" s="89"/>
      <c r="C35" s="90">
        <v>402</v>
      </c>
      <c r="D35" s="89"/>
      <c r="E35" s="4"/>
      <c r="F35" s="89"/>
      <c r="G35" s="93">
        <f t="shared" si="0"/>
        <v>0</v>
      </c>
      <c r="H35" s="94"/>
      <c r="I35" s="94"/>
      <c r="J35" s="71"/>
      <c r="K35" s="70"/>
    </row>
    <row r="36" spans="1:11" ht="18.75" customHeight="1" x14ac:dyDescent="0.3">
      <c r="A36" s="88" t="s">
        <v>519</v>
      </c>
      <c r="B36" s="89"/>
      <c r="C36" s="90">
        <v>577</v>
      </c>
      <c r="D36" s="89"/>
      <c r="E36" s="4"/>
      <c r="F36" s="89"/>
      <c r="G36" s="93">
        <f t="shared" si="0"/>
        <v>0</v>
      </c>
      <c r="H36" s="94"/>
      <c r="I36" s="94"/>
      <c r="J36" s="71"/>
      <c r="K36" s="70"/>
    </row>
    <row r="37" spans="1:11" ht="18.75" customHeight="1" x14ac:dyDescent="0.3">
      <c r="A37" s="88" t="s">
        <v>127</v>
      </c>
      <c r="B37" s="89"/>
      <c r="C37" s="90">
        <v>3743</v>
      </c>
      <c r="D37" s="89"/>
      <c r="E37" s="4"/>
      <c r="F37" s="89"/>
      <c r="G37" s="93">
        <f t="shared" ref="G37" si="1">C37*E37</f>
        <v>0</v>
      </c>
      <c r="H37" s="85"/>
      <c r="I37" s="85"/>
      <c r="J37" s="69"/>
      <c r="K37" s="70"/>
    </row>
    <row r="38" spans="1:11" ht="18.75" customHeight="1" x14ac:dyDescent="0.3">
      <c r="A38" s="88" t="s">
        <v>128</v>
      </c>
      <c r="B38" s="89"/>
      <c r="C38" s="90">
        <v>1548</v>
      </c>
      <c r="D38" s="89"/>
      <c r="E38" s="4"/>
      <c r="F38" s="89"/>
      <c r="G38" s="93">
        <f t="shared" si="0"/>
        <v>0</v>
      </c>
      <c r="H38" s="85"/>
      <c r="I38" s="85"/>
      <c r="J38" s="69"/>
      <c r="K38" s="70"/>
    </row>
    <row r="39" spans="1:11" ht="18.75" customHeight="1" x14ac:dyDescent="0.3">
      <c r="A39" s="88" t="s">
        <v>520</v>
      </c>
      <c r="B39" s="89"/>
      <c r="C39" s="90">
        <v>522</v>
      </c>
      <c r="D39" s="89"/>
      <c r="E39" s="4"/>
      <c r="F39" s="89"/>
      <c r="G39" s="93">
        <f t="shared" si="0"/>
        <v>0</v>
      </c>
      <c r="H39" s="94"/>
      <c r="I39" s="85"/>
      <c r="J39" s="69"/>
      <c r="K39" s="70"/>
    </row>
    <row r="40" spans="1:11" ht="18.75" customHeight="1" x14ac:dyDescent="0.3">
      <c r="A40" s="88" t="s">
        <v>129</v>
      </c>
      <c r="B40" s="89"/>
      <c r="C40" s="90">
        <v>1299</v>
      </c>
      <c r="D40" s="89"/>
      <c r="E40" s="4"/>
      <c r="F40" s="89"/>
      <c r="G40" s="93">
        <f t="shared" si="0"/>
        <v>0</v>
      </c>
      <c r="H40" s="85"/>
      <c r="I40" s="85"/>
      <c r="J40" s="69"/>
      <c r="K40" s="70"/>
    </row>
    <row r="41" spans="1:11" ht="18.75" customHeight="1" x14ac:dyDescent="0.3">
      <c r="A41" s="88" t="s">
        <v>130</v>
      </c>
      <c r="B41" s="89"/>
      <c r="C41" s="90">
        <v>710</v>
      </c>
      <c r="D41" s="89"/>
      <c r="E41" s="4"/>
      <c r="F41" s="89"/>
      <c r="G41" s="93">
        <f t="shared" si="0"/>
        <v>0</v>
      </c>
      <c r="H41" s="85"/>
      <c r="I41" s="85"/>
      <c r="J41" s="69"/>
      <c r="K41" s="70"/>
    </row>
    <row r="42" spans="1:11" ht="18.75" customHeight="1" x14ac:dyDescent="0.3">
      <c r="A42" s="88" t="s">
        <v>131</v>
      </c>
      <c r="B42" s="89"/>
      <c r="C42" s="90">
        <v>1664</v>
      </c>
      <c r="D42" s="89"/>
      <c r="E42" s="4"/>
      <c r="F42" s="89"/>
      <c r="G42" s="93">
        <f t="shared" si="0"/>
        <v>0</v>
      </c>
      <c r="H42" s="85"/>
      <c r="I42" s="85"/>
      <c r="J42" s="69"/>
      <c r="K42" s="70"/>
    </row>
    <row r="43" spans="1:11" ht="18.75" customHeight="1" x14ac:dyDescent="0.3">
      <c r="A43" s="88" t="s">
        <v>132</v>
      </c>
      <c r="B43" s="89"/>
      <c r="C43" s="90">
        <v>1852</v>
      </c>
      <c r="D43" s="89"/>
      <c r="E43" s="4"/>
      <c r="F43" s="89"/>
      <c r="G43" s="93">
        <f t="shared" si="0"/>
        <v>0</v>
      </c>
      <c r="H43" s="85"/>
      <c r="I43" s="85"/>
      <c r="J43" s="69"/>
      <c r="K43" s="70"/>
    </row>
    <row r="44" spans="1:11" ht="18.75" customHeight="1" x14ac:dyDescent="0.3">
      <c r="A44" s="88" t="s">
        <v>133</v>
      </c>
      <c r="B44" s="89"/>
      <c r="C44" s="90">
        <v>1443</v>
      </c>
      <c r="D44" s="89"/>
      <c r="E44" s="4"/>
      <c r="F44" s="89"/>
      <c r="G44" s="93">
        <f t="shared" si="0"/>
        <v>0</v>
      </c>
      <c r="H44" s="85"/>
      <c r="I44" s="85"/>
      <c r="J44" s="69"/>
      <c r="K44" s="70"/>
    </row>
    <row r="45" spans="1:11" ht="18.75" customHeight="1" x14ac:dyDescent="0.3">
      <c r="A45" s="88" t="s">
        <v>134</v>
      </c>
      <c r="B45" s="89"/>
      <c r="C45" s="90">
        <v>1403</v>
      </c>
      <c r="D45" s="89"/>
      <c r="E45" s="4"/>
      <c r="F45" s="89"/>
      <c r="G45" s="93">
        <f t="shared" si="0"/>
        <v>0</v>
      </c>
      <c r="H45" s="85"/>
      <c r="I45" s="85"/>
      <c r="J45" s="69"/>
      <c r="K45" s="70"/>
    </row>
    <row r="46" spans="1:11" ht="18.75" customHeight="1" x14ac:dyDescent="0.3">
      <c r="A46" s="88" t="s">
        <v>135</v>
      </c>
      <c r="B46" s="89"/>
      <c r="C46" s="90">
        <v>798</v>
      </c>
      <c r="D46" s="89"/>
      <c r="E46" s="4"/>
      <c r="F46" s="89"/>
      <c r="G46" s="93">
        <f t="shared" si="0"/>
        <v>0</v>
      </c>
      <c r="H46" s="85"/>
      <c r="I46" s="85"/>
      <c r="J46" s="69"/>
      <c r="K46" s="70"/>
    </row>
    <row r="47" spans="1:11" ht="18.75" customHeight="1" x14ac:dyDescent="0.25">
      <c r="A47" s="88" t="s">
        <v>136</v>
      </c>
      <c r="B47" s="91"/>
      <c r="C47" s="90">
        <v>720</v>
      </c>
      <c r="D47" s="91"/>
      <c r="E47" s="4"/>
      <c r="F47" s="91"/>
      <c r="G47" s="93">
        <f t="shared" si="0"/>
        <v>0</v>
      </c>
      <c r="H47" s="86"/>
      <c r="I47" s="86"/>
      <c r="J47" s="70"/>
      <c r="K47" s="70"/>
    </row>
    <row r="48" spans="1:11" ht="18.75" customHeight="1" x14ac:dyDescent="0.25">
      <c r="A48" s="88" t="s">
        <v>180</v>
      </c>
      <c r="B48" s="91"/>
      <c r="C48" s="90">
        <v>801</v>
      </c>
      <c r="D48" s="91"/>
      <c r="E48" s="4"/>
      <c r="F48" s="91"/>
      <c r="G48" s="93">
        <f t="shared" si="0"/>
        <v>0</v>
      </c>
      <c r="H48" s="86"/>
      <c r="I48" s="86"/>
      <c r="J48" s="70"/>
      <c r="K48" s="70"/>
    </row>
    <row r="49" spans="1:11" ht="18.75" customHeight="1" x14ac:dyDescent="0.25">
      <c r="A49" s="88" t="s">
        <v>137</v>
      </c>
      <c r="B49" s="91"/>
      <c r="C49" s="90">
        <v>712</v>
      </c>
      <c r="D49" s="91"/>
      <c r="E49" s="4"/>
      <c r="F49" s="91"/>
      <c r="G49" s="93">
        <f t="shared" si="0"/>
        <v>0</v>
      </c>
      <c r="H49" s="86"/>
      <c r="I49" s="86"/>
      <c r="J49" s="70"/>
      <c r="K49" s="70"/>
    </row>
    <row r="50" spans="1:11" ht="18.75" customHeight="1" x14ac:dyDescent="0.25">
      <c r="A50" s="88" t="s">
        <v>138</v>
      </c>
      <c r="B50" s="91"/>
      <c r="C50" s="90">
        <v>13475</v>
      </c>
      <c r="D50" s="91"/>
      <c r="E50" s="4"/>
      <c r="F50" s="91"/>
      <c r="G50" s="93">
        <f t="shared" si="0"/>
        <v>0</v>
      </c>
      <c r="H50" s="86"/>
      <c r="I50" s="86"/>
      <c r="J50" s="70"/>
      <c r="K50" s="70"/>
    </row>
    <row r="51" spans="1:11" ht="18.75" customHeight="1" x14ac:dyDescent="0.25">
      <c r="A51" s="88" t="s">
        <v>521</v>
      </c>
      <c r="B51" s="91"/>
      <c r="C51" s="90">
        <v>3800</v>
      </c>
      <c r="D51" s="91"/>
      <c r="E51" s="4"/>
      <c r="F51" s="91"/>
      <c r="G51" s="93">
        <f t="shared" si="0"/>
        <v>0</v>
      </c>
      <c r="H51" s="86"/>
      <c r="I51" s="86"/>
      <c r="J51" s="70"/>
      <c r="K51" s="70"/>
    </row>
    <row r="52" spans="1:11" ht="18.75" customHeight="1" x14ac:dyDescent="0.25">
      <c r="A52" s="88" t="s">
        <v>522</v>
      </c>
      <c r="B52" s="91"/>
      <c r="C52" s="90">
        <v>2640</v>
      </c>
      <c r="D52" s="91"/>
      <c r="E52" s="4"/>
      <c r="F52" s="91"/>
      <c r="G52" s="93">
        <f t="shared" si="0"/>
        <v>0</v>
      </c>
      <c r="H52" s="86"/>
      <c r="I52" s="86"/>
      <c r="J52" s="70"/>
      <c r="K52" s="70"/>
    </row>
    <row r="53" spans="1:11" ht="18.75" customHeight="1" x14ac:dyDescent="0.25">
      <c r="A53" s="88" t="s">
        <v>140</v>
      </c>
      <c r="B53" s="91"/>
      <c r="C53" s="90">
        <v>4711</v>
      </c>
      <c r="D53" s="91"/>
      <c r="E53" s="4"/>
      <c r="F53" s="91"/>
      <c r="G53" s="93">
        <f t="shared" si="0"/>
        <v>0</v>
      </c>
      <c r="H53" s="86"/>
      <c r="I53" s="86"/>
      <c r="J53" s="70"/>
      <c r="K53" s="70"/>
    </row>
    <row r="54" spans="1:11" ht="18.75" customHeight="1" x14ac:dyDescent="0.25">
      <c r="A54" s="88" t="s">
        <v>41</v>
      </c>
      <c r="B54" s="91"/>
      <c r="C54" s="90">
        <v>13637</v>
      </c>
      <c r="D54" s="91"/>
      <c r="E54" s="4"/>
      <c r="F54" s="91"/>
      <c r="G54" s="93">
        <f t="shared" si="0"/>
        <v>0</v>
      </c>
      <c r="H54" s="86"/>
      <c r="I54" s="86"/>
      <c r="J54" s="70"/>
      <c r="K54" s="70"/>
    </row>
    <row r="55" spans="1:11" ht="18.75" customHeight="1" x14ac:dyDescent="0.25">
      <c r="A55" s="88" t="s">
        <v>523</v>
      </c>
      <c r="B55" s="91"/>
      <c r="C55" s="90">
        <v>330</v>
      </c>
      <c r="D55" s="91"/>
      <c r="E55" s="4"/>
      <c r="F55" s="91"/>
      <c r="G55" s="93">
        <f t="shared" si="0"/>
        <v>0</v>
      </c>
      <c r="H55" s="95"/>
      <c r="I55" s="86"/>
      <c r="J55" s="70"/>
      <c r="K55" s="70"/>
    </row>
    <row r="56" spans="1:11" ht="18.75" customHeight="1" x14ac:dyDescent="0.25">
      <c r="A56" s="88" t="s">
        <v>141</v>
      </c>
      <c r="B56" s="91"/>
      <c r="C56" s="90">
        <v>2242</v>
      </c>
      <c r="D56" s="91"/>
      <c r="E56" s="4"/>
      <c r="F56" s="91"/>
      <c r="G56" s="93">
        <f t="shared" si="0"/>
        <v>0</v>
      </c>
      <c r="H56" s="86"/>
      <c r="I56" s="86"/>
      <c r="J56" s="70"/>
      <c r="K56" s="70"/>
    </row>
    <row r="57" spans="1:11" ht="18.75" customHeight="1" x14ac:dyDescent="0.25">
      <c r="A57" s="88" t="s">
        <v>45</v>
      </c>
      <c r="B57" s="91"/>
      <c r="C57" s="90">
        <v>1871</v>
      </c>
      <c r="D57" s="91"/>
      <c r="E57" s="4"/>
      <c r="F57" s="91"/>
      <c r="G57" s="93">
        <f t="shared" si="0"/>
        <v>0</v>
      </c>
      <c r="H57" s="86"/>
      <c r="I57" s="86"/>
      <c r="J57" s="70"/>
      <c r="K57" s="70"/>
    </row>
    <row r="58" spans="1:11" s="73" customFormat="1" ht="18.75" customHeight="1" x14ac:dyDescent="0.25">
      <c r="A58" s="88" t="s">
        <v>524</v>
      </c>
      <c r="B58" s="91"/>
      <c r="C58" s="90">
        <v>407</v>
      </c>
      <c r="D58" s="91"/>
      <c r="E58" s="4"/>
      <c r="F58" s="91"/>
      <c r="G58" s="93">
        <f t="shared" si="0"/>
        <v>0</v>
      </c>
      <c r="H58" s="95"/>
      <c r="I58" s="95"/>
      <c r="J58" s="72"/>
      <c r="K58" s="72"/>
    </row>
    <row r="59" spans="1:11" s="73" customFormat="1" ht="18.75" customHeight="1" x14ac:dyDescent="0.25">
      <c r="A59" s="88" t="s">
        <v>525</v>
      </c>
      <c r="B59" s="91"/>
      <c r="C59" s="90">
        <v>2849</v>
      </c>
      <c r="D59" s="91"/>
      <c r="E59" s="4"/>
      <c r="F59" s="91"/>
      <c r="G59" s="93">
        <f t="shared" si="0"/>
        <v>0</v>
      </c>
      <c r="H59" s="91"/>
      <c r="I59" s="95"/>
      <c r="J59" s="72"/>
      <c r="K59" s="72"/>
    </row>
    <row r="60" spans="1:11" s="75" customFormat="1" ht="18.75" customHeight="1" x14ac:dyDescent="0.25">
      <c r="A60" s="88" t="s">
        <v>425</v>
      </c>
      <c r="B60" s="91"/>
      <c r="C60" s="90">
        <v>360</v>
      </c>
      <c r="D60" s="91"/>
      <c r="E60" s="4"/>
      <c r="F60" s="91"/>
      <c r="G60" s="93">
        <f t="shared" si="0"/>
        <v>0</v>
      </c>
      <c r="H60" s="96"/>
      <c r="I60" s="96"/>
      <c r="J60" s="74"/>
      <c r="K60" s="74"/>
    </row>
    <row r="61" spans="1:11" ht="18.75" customHeight="1" x14ac:dyDescent="0.25">
      <c r="A61" s="88" t="s">
        <v>142</v>
      </c>
      <c r="B61" s="91"/>
      <c r="C61" s="90">
        <v>1086</v>
      </c>
      <c r="D61" s="91"/>
      <c r="E61" s="4"/>
      <c r="F61" s="91"/>
      <c r="G61" s="93">
        <f t="shared" si="0"/>
        <v>0</v>
      </c>
      <c r="H61" s="86"/>
      <c r="I61" s="86"/>
      <c r="J61" s="70"/>
      <c r="K61" s="70"/>
    </row>
    <row r="62" spans="1:11" ht="18.75" customHeight="1" x14ac:dyDescent="0.25">
      <c r="A62" s="88" t="s">
        <v>48</v>
      </c>
      <c r="B62" s="91"/>
      <c r="C62" s="90">
        <v>749</v>
      </c>
      <c r="D62" s="91"/>
      <c r="E62" s="4"/>
      <c r="F62" s="91"/>
      <c r="G62" s="93">
        <f t="shared" si="0"/>
        <v>0</v>
      </c>
      <c r="H62" s="86"/>
      <c r="I62" s="86"/>
      <c r="J62" s="70"/>
      <c r="K62" s="70"/>
    </row>
    <row r="63" spans="1:11" ht="18.75" customHeight="1" x14ac:dyDescent="0.25">
      <c r="A63" s="88" t="s">
        <v>49</v>
      </c>
      <c r="B63" s="91"/>
      <c r="C63" s="90">
        <v>741</v>
      </c>
      <c r="D63" s="91"/>
      <c r="E63" s="4"/>
      <c r="F63" s="91"/>
      <c r="G63" s="93">
        <f t="shared" si="0"/>
        <v>0</v>
      </c>
      <c r="H63" s="86"/>
      <c r="I63" s="86"/>
      <c r="J63" s="70"/>
      <c r="K63" s="70"/>
    </row>
    <row r="64" spans="1:11" ht="18.75" customHeight="1" x14ac:dyDescent="0.25">
      <c r="A64" s="88" t="s">
        <v>143</v>
      </c>
      <c r="B64" s="91"/>
      <c r="C64" s="90">
        <v>1080</v>
      </c>
      <c r="D64" s="91"/>
      <c r="E64" s="4"/>
      <c r="F64" s="91"/>
      <c r="G64" s="93">
        <f t="shared" si="0"/>
        <v>0</v>
      </c>
      <c r="H64" s="86"/>
      <c r="I64" s="86"/>
      <c r="J64" s="70"/>
      <c r="K64" s="70"/>
    </row>
    <row r="65" spans="1:11" ht="18.75" customHeight="1" x14ac:dyDescent="0.25">
      <c r="A65" s="88" t="s">
        <v>57</v>
      </c>
      <c r="B65" s="91"/>
      <c r="C65" s="90">
        <v>6259</v>
      </c>
      <c r="D65" s="91"/>
      <c r="E65" s="4"/>
      <c r="F65" s="91"/>
      <c r="G65" s="93">
        <f t="shared" si="0"/>
        <v>0</v>
      </c>
      <c r="H65" s="86"/>
      <c r="I65" s="86"/>
      <c r="J65" s="70"/>
      <c r="K65" s="70"/>
    </row>
    <row r="66" spans="1:11" s="77" customFormat="1" ht="20.25" customHeight="1" x14ac:dyDescent="0.25">
      <c r="A66" s="88" t="s">
        <v>526</v>
      </c>
      <c r="B66" s="91"/>
      <c r="C66" s="90">
        <v>356</v>
      </c>
      <c r="D66" s="91"/>
      <c r="E66" s="4"/>
      <c r="F66" s="91"/>
      <c r="G66" s="93">
        <f t="shared" si="0"/>
        <v>0</v>
      </c>
      <c r="H66" s="97"/>
      <c r="I66" s="97"/>
      <c r="J66" s="76"/>
      <c r="K66" s="76"/>
    </row>
    <row r="67" spans="1:11" ht="18.75" customHeight="1" x14ac:dyDescent="0.25">
      <c r="A67" s="88" t="s">
        <v>144</v>
      </c>
      <c r="B67" s="91"/>
      <c r="C67" s="90">
        <v>1438</v>
      </c>
      <c r="D67" s="91"/>
      <c r="E67" s="4"/>
      <c r="F67" s="91"/>
      <c r="G67" s="93">
        <f t="shared" si="0"/>
        <v>0</v>
      </c>
      <c r="H67" s="86"/>
      <c r="I67" s="86"/>
      <c r="J67" s="70"/>
      <c r="K67" s="70"/>
    </row>
    <row r="68" spans="1:11" ht="18.75" customHeight="1" x14ac:dyDescent="0.25">
      <c r="A68" s="88" t="s">
        <v>145</v>
      </c>
      <c r="B68" s="91"/>
      <c r="C68" s="90">
        <v>1265</v>
      </c>
      <c r="D68" s="91"/>
      <c r="E68" s="4"/>
      <c r="F68" s="91"/>
      <c r="G68" s="93">
        <f t="shared" si="0"/>
        <v>0</v>
      </c>
      <c r="H68" s="86"/>
      <c r="I68" s="86"/>
      <c r="J68" s="70"/>
      <c r="K68" s="70"/>
    </row>
    <row r="69" spans="1:11" ht="18.75" customHeight="1" x14ac:dyDescent="0.25">
      <c r="A69" s="88" t="s">
        <v>146</v>
      </c>
      <c r="B69" s="91"/>
      <c r="C69" s="90">
        <v>801</v>
      </c>
      <c r="D69" s="91"/>
      <c r="E69" s="4"/>
      <c r="F69" s="91"/>
      <c r="G69" s="93">
        <f t="shared" si="0"/>
        <v>0</v>
      </c>
      <c r="H69" s="86"/>
      <c r="I69" s="86"/>
      <c r="J69" s="70"/>
      <c r="K69" s="70"/>
    </row>
    <row r="70" spans="1:11" s="77" customFormat="1" ht="18.75" customHeight="1" x14ac:dyDescent="0.25">
      <c r="A70" s="88" t="s">
        <v>527</v>
      </c>
      <c r="B70" s="91"/>
      <c r="C70" s="90">
        <v>355</v>
      </c>
      <c r="D70" s="91"/>
      <c r="E70" s="4"/>
      <c r="F70" s="91"/>
      <c r="G70" s="93">
        <f t="shared" si="0"/>
        <v>0</v>
      </c>
      <c r="H70" s="97"/>
      <c r="I70" s="97"/>
      <c r="J70" s="76"/>
      <c r="K70" s="76"/>
    </row>
    <row r="71" spans="1:11" ht="18.75" customHeight="1" x14ac:dyDescent="0.25">
      <c r="A71" s="88" t="s">
        <v>147</v>
      </c>
      <c r="B71" s="91"/>
      <c r="C71" s="90">
        <v>848</v>
      </c>
      <c r="D71" s="91"/>
      <c r="E71" s="4"/>
      <c r="F71" s="91"/>
      <c r="G71" s="93">
        <f t="shared" si="0"/>
        <v>0</v>
      </c>
      <c r="H71" s="86"/>
      <c r="I71" s="86"/>
      <c r="J71" s="70"/>
      <c r="K71" s="70"/>
    </row>
    <row r="72" spans="1:11" ht="18.75" customHeight="1" x14ac:dyDescent="0.25">
      <c r="A72" s="88" t="s">
        <v>148</v>
      </c>
      <c r="B72" s="91"/>
      <c r="C72" s="90">
        <v>2719</v>
      </c>
      <c r="D72" s="91"/>
      <c r="E72" s="4"/>
      <c r="F72" s="91"/>
      <c r="G72" s="93">
        <f t="shared" si="0"/>
        <v>0</v>
      </c>
      <c r="H72" s="86"/>
      <c r="I72" s="86"/>
      <c r="J72" s="70"/>
      <c r="K72" s="70"/>
    </row>
    <row r="73" spans="1:11" ht="18.75" customHeight="1" x14ac:dyDescent="0.25">
      <c r="A73" s="88" t="s">
        <v>149</v>
      </c>
      <c r="B73" s="91"/>
      <c r="C73" s="90">
        <v>726</v>
      </c>
      <c r="D73" s="91"/>
      <c r="E73" s="4"/>
      <c r="F73" s="91"/>
      <c r="G73" s="93">
        <f t="shared" si="0"/>
        <v>0</v>
      </c>
      <c r="H73" s="86"/>
      <c r="I73" s="86"/>
      <c r="J73" s="70"/>
      <c r="K73" s="70"/>
    </row>
    <row r="74" spans="1:11" ht="18.75" customHeight="1" x14ac:dyDescent="0.25">
      <c r="A74" s="88" t="s">
        <v>64</v>
      </c>
      <c r="B74" s="91"/>
      <c r="C74" s="90">
        <v>2573</v>
      </c>
      <c r="D74" s="91"/>
      <c r="E74" s="4"/>
      <c r="F74" s="91"/>
      <c r="G74" s="93">
        <f t="shared" si="0"/>
        <v>0</v>
      </c>
      <c r="H74" s="86"/>
      <c r="I74" s="86"/>
      <c r="J74" s="70"/>
      <c r="K74" s="70"/>
    </row>
    <row r="75" spans="1:11" ht="18.75" customHeight="1" x14ac:dyDescent="0.25">
      <c r="A75" s="88" t="s">
        <v>150</v>
      </c>
      <c r="B75" s="91"/>
      <c r="C75" s="90">
        <v>1598</v>
      </c>
      <c r="D75" s="91"/>
      <c r="E75" s="4"/>
      <c r="F75" s="91"/>
      <c r="G75" s="93">
        <f t="shared" si="0"/>
        <v>0</v>
      </c>
      <c r="H75" s="86"/>
      <c r="I75" s="86"/>
      <c r="J75" s="70"/>
      <c r="K75" s="70"/>
    </row>
    <row r="76" spans="1:11" ht="18.75" customHeight="1" x14ac:dyDescent="0.25">
      <c r="A76" s="88" t="s">
        <v>528</v>
      </c>
      <c r="B76" s="91"/>
      <c r="C76" s="90">
        <v>591</v>
      </c>
      <c r="D76" s="91"/>
      <c r="E76" s="4"/>
      <c r="F76" s="91"/>
      <c r="G76" s="93">
        <v>0</v>
      </c>
      <c r="H76" s="95"/>
      <c r="I76" s="86"/>
      <c r="J76" s="70"/>
      <c r="K76" s="70"/>
    </row>
    <row r="77" spans="1:11" ht="18.75" customHeight="1" x14ac:dyDescent="0.25">
      <c r="A77" s="88" t="s">
        <v>529</v>
      </c>
      <c r="B77" s="91"/>
      <c r="C77" s="90">
        <v>664</v>
      </c>
      <c r="D77" s="91"/>
      <c r="E77" s="4"/>
      <c r="F77" s="91"/>
      <c r="G77" s="93">
        <v>0</v>
      </c>
      <c r="H77" s="95"/>
      <c r="I77" s="86"/>
      <c r="J77" s="70"/>
      <c r="K77" s="70"/>
    </row>
    <row r="78" spans="1:11" ht="18.75" customHeight="1" x14ac:dyDescent="0.25">
      <c r="A78" s="88" t="s">
        <v>151</v>
      </c>
      <c r="B78" s="91"/>
      <c r="C78" s="90">
        <v>1395</v>
      </c>
      <c r="D78" s="91"/>
      <c r="E78" s="4"/>
      <c r="F78" s="91"/>
      <c r="G78" s="93">
        <f t="shared" si="0"/>
        <v>0</v>
      </c>
      <c r="H78" s="86"/>
      <c r="I78" s="86"/>
      <c r="J78" s="70"/>
      <c r="K78" s="70"/>
    </row>
    <row r="79" spans="1:11" ht="18.75" customHeight="1" x14ac:dyDescent="0.25">
      <c r="A79" s="88" t="s">
        <v>152</v>
      </c>
      <c r="B79" s="91"/>
      <c r="C79" s="90">
        <v>1109</v>
      </c>
      <c r="D79" s="91"/>
      <c r="E79" s="4"/>
      <c r="F79" s="91"/>
      <c r="G79" s="93">
        <f t="shared" si="0"/>
        <v>0</v>
      </c>
      <c r="H79" s="86"/>
      <c r="I79" s="86"/>
      <c r="J79" s="70"/>
      <c r="K79" s="70"/>
    </row>
    <row r="80" spans="1:11" ht="18.75" customHeight="1" x14ac:dyDescent="0.25">
      <c r="A80" s="88" t="s">
        <v>153</v>
      </c>
      <c r="B80" s="91"/>
      <c r="C80" s="90">
        <v>1682</v>
      </c>
      <c r="D80" s="91"/>
      <c r="E80" s="4"/>
      <c r="F80" s="91"/>
      <c r="G80" s="93">
        <f t="shared" si="0"/>
        <v>0</v>
      </c>
      <c r="H80" s="86"/>
      <c r="I80" s="86"/>
      <c r="J80" s="70"/>
      <c r="K80" s="70"/>
    </row>
    <row r="81" spans="1:11" ht="18.75" customHeight="1" x14ac:dyDescent="0.25">
      <c r="A81" s="88" t="s">
        <v>530</v>
      </c>
      <c r="B81" s="91"/>
      <c r="C81" s="90">
        <v>792</v>
      </c>
      <c r="D81" s="91"/>
      <c r="E81" s="4"/>
      <c r="F81" s="91"/>
      <c r="G81" s="93">
        <f t="shared" si="0"/>
        <v>0</v>
      </c>
      <c r="H81" s="95"/>
      <c r="I81" s="95"/>
      <c r="J81" s="70"/>
      <c r="K81" s="70"/>
    </row>
    <row r="82" spans="1:11" ht="18.75" customHeight="1" x14ac:dyDescent="0.25">
      <c r="A82" s="88" t="s">
        <v>531</v>
      </c>
      <c r="B82" s="91"/>
      <c r="C82" s="90">
        <v>355</v>
      </c>
      <c r="D82" s="91"/>
      <c r="E82" s="4"/>
      <c r="F82" s="91"/>
      <c r="G82" s="93">
        <f t="shared" si="0"/>
        <v>0</v>
      </c>
      <c r="H82" s="95"/>
      <c r="I82" s="95"/>
      <c r="J82" s="70"/>
      <c r="K82" s="70"/>
    </row>
    <row r="83" spans="1:11" ht="18.75" customHeight="1" x14ac:dyDescent="0.25">
      <c r="A83" s="88" t="s">
        <v>503</v>
      </c>
      <c r="B83" s="91"/>
      <c r="C83" s="90">
        <v>359</v>
      </c>
      <c r="D83" s="91"/>
      <c r="E83" s="4"/>
      <c r="F83" s="91"/>
      <c r="G83" s="93">
        <f t="shared" si="0"/>
        <v>0</v>
      </c>
      <c r="H83" s="95"/>
      <c r="I83" s="95"/>
      <c r="J83" s="70"/>
      <c r="K83" s="70"/>
    </row>
    <row r="84" spans="1:11" ht="18.75" customHeight="1" x14ac:dyDescent="0.25">
      <c r="A84" s="88" t="s">
        <v>154</v>
      </c>
      <c r="B84" s="91"/>
      <c r="C84" s="90">
        <v>1606</v>
      </c>
      <c r="D84" s="91"/>
      <c r="E84" s="4"/>
      <c r="F84" s="91"/>
      <c r="G84" s="93">
        <f t="shared" si="0"/>
        <v>0</v>
      </c>
      <c r="H84" s="86"/>
      <c r="I84" s="86"/>
      <c r="J84" s="70"/>
      <c r="K84" s="70"/>
    </row>
    <row r="85" spans="1:11" ht="18.75" customHeight="1" x14ac:dyDescent="0.25">
      <c r="A85" s="88" t="s">
        <v>67</v>
      </c>
      <c r="B85" s="91"/>
      <c r="C85" s="90">
        <v>3767</v>
      </c>
      <c r="D85" s="91"/>
      <c r="E85" s="4"/>
      <c r="F85" s="91"/>
      <c r="G85" s="93">
        <f t="shared" si="0"/>
        <v>0</v>
      </c>
      <c r="H85" s="86"/>
      <c r="I85" s="86"/>
      <c r="J85" s="70"/>
      <c r="K85" s="70"/>
    </row>
    <row r="86" spans="1:11" ht="18.75" customHeight="1" x14ac:dyDescent="0.25">
      <c r="A86" s="88" t="s">
        <v>532</v>
      </c>
      <c r="B86" s="91"/>
      <c r="C86" s="90">
        <v>345</v>
      </c>
      <c r="D86" s="91"/>
      <c r="E86" s="4"/>
      <c r="F86" s="91"/>
      <c r="G86" s="93">
        <f t="shared" si="0"/>
        <v>0</v>
      </c>
      <c r="H86" s="95"/>
      <c r="I86" s="86"/>
      <c r="J86" s="70"/>
      <c r="K86" s="70"/>
    </row>
    <row r="87" spans="1:11" ht="18.75" customHeight="1" x14ac:dyDescent="0.25">
      <c r="A87" s="88" t="s">
        <v>533</v>
      </c>
      <c r="B87" s="91"/>
      <c r="C87" s="90">
        <v>1360</v>
      </c>
      <c r="D87" s="91"/>
      <c r="E87" s="4"/>
      <c r="F87" s="91"/>
      <c r="G87" s="93">
        <f t="shared" si="0"/>
        <v>0</v>
      </c>
      <c r="H87" s="95"/>
      <c r="I87" s="86"/>
      <c r="J87" s="70"/>
      <c r="K87" s="70"/>
    </row>
    <row r="88" spans="1:11" ht="18.75" customHeight="1" x14ac:dyDescent="0.25">
      <c r="A88" s="92" t="s">
        <v>155</v>
      </c>
      <c r="B88" s="91"/>
      <c r="C88" s="90">
        <v>1515</v>
      </c>
      <c r="D88" s="91"/>
      <c r="E88" s="4"/>
      <c r="F88" s="91"/>
      <c r="G88" s="93">
        <f t="shared" si="0"/>
        <v>0</v>
      </c>
      <c r="H88" s="86"/>
      <c r="I88" s="86"/>
      <c r="J88" s="70"/>
      <c r="K88" s="70"/>
    </row>
    <row r="89" spans="1:11" ht="18.75" customHeight="1" x14ac:dyDescent="0.25">
      <c r="A89" s="88" t="s">
        <v>156</v>
      </c>
      <c r="B89" s="91"/>
      <c r="C89" s="90">
        <v>2925</v>
      </c>
      <c r="D89" s="91"/>
      <c r="E89" s="4"/>
      <c r="F89" s="91"/>
      <c r="G89" s="93">
        <f t="shared" si="0"/>
        <v>0</v>
      </c>
      <c r="H89" s="86"/>
      <c r="I89" s="86"/>
      <c r="J89" s="70"/>
      <c r="K89" s="70"/>
    </row>
    <row r="90" spans="1:11" ht="18.75" customHeight="1" x14ac:dyDescent="0.25">
      <c r="A90" s="88" t="s">
        <v>157</v>
      </c>
      <c r="B90" s="91"/>
      <c r="C90" s="90">
        <v>1206</v>
      </c>
      <c r="D90" s="91"/>
      <c r="E90" s="4"/>
      <c r="F90" s="91"/>
      <c r="G90" s="93">
        <f t="shared" si="0"/>
        <v>0</v>
      </c>
      <c r="H90" s="86"/>
      <c r="I90" s="86"/>
      <c r="J90" s="70"/>
      <c r="K90" s="70"/>
    </row>
    <row r="91" spans="1:11" ht="18.75" customHeight="1" x14ac:dyDescent="0.25">
      <c r="A91" s="88" t="s">
        <v>74</v>
      </c>
      <c r="B91" s="91"/>
      <c r="C91" s="90">
        <v>344</v>
      </c>
      <c r="D91" s="91"/>
      <c r="E91" s="4"/>
      <c r="F91" s="91"/>
      <c r="G91" s="93">
        <f t="shared" si="0"/>
        <v>0</v>
      </c>
      <c r="H91" s="86"/>
      <c r="I91" s="86"/>
      <c r="J91" s="70"/>
      <c r="K91" s="70"/>
    </row>
    <row r="92" spans="1:11" ht="18.75" customHeight="1" x14ac:dyDescent="0.25">
      <c r="A92" s="88" t="s">
        <v>158</v>
      </c>
      <c r="B92" s="91"/>
      <c r="C92" s="90">
        <v>1548</v>
      </c>
      <c r="D92" s="91"/>
      <c r="E92" s="4"/>
      <c r="F92" s="91"/>
      <c r="G92" s="93">
        <f t="shared" si="0"/>
        <v>0</v>
      </c>
      <c r="H92" s="86"/>
      <c r="I92" s="86"/>
      <c r="J92" s="70"/>
      <c r="K92" s="70"/>
    </row>
    <row r="93" spans="1:11" ht="18.75" customHeight="1" x14ac:dyDescent="0.25">
      <c r="A93" s="88" t="s">
        <v>76</v>
      </c>
      <c r="B93" s="91"/>
      <c r="C93" s="90">
        <v>1661</v>
      </c>
      <c r="D93" s="91"/>
      <c r="E93" s="4"/>
      <c r="F93" s="91"/>
      <c r="G93" s="93">
        <f t="shared" si="0"/>
        <v>0</v>
      </c>
      <c r="H93" s="86"/>
      <c r="I93" s="86"/>
      <c r="J93" s="70"/>
      <c r="K93" s="70"/>
    </row>
    <row r="94" spans="1:11" ht="18.75" customHeight="1" x14ac:dyDescent="0.25">
      <c r="A94" s="88" t="s">
        <v>159</v>
      </c>
      <c r="B94" s="91"/>
      <c r="C94" s="90">
        <v>923</v>
      </c>
      <c r="D94" s="91"/>
      <c r="E94" s="4"/>
      <c r="F94" s="91"/>
      <c r="G94" s="93">
        <f t="shared" ref="G94:G143" si="2">C94*E94</f>
        <v>0</v>
      </c>
      <c r="H94" s="86"/>
      <c r="I94" s="86"/>
      <c r="J94" s="70"/>
      <c r="K94" s="70"/>
    </row>
    <row r="95" spans="1:11" s="77" customFormat="1" ht="18.75" customHeight="1" x14ac:dyDescent="0.25">
      <c r="A95" s="88" t="s">
        <v>78</v>
      </c>
      <c r="B95" s="91"/>
      <c r="C95" s="90">
        <v>444</v>
      </c>
      <c r="D95" s="91"/>
      <c r="E95" s="4"/>
      <c r="F95" s="91"/>
      <c r="G95" s="93">
        <f t="shared" si="2"/>
        <v>0</v>
      </c>
      <c r="H95" s="97"/>
      <c r="I95" s="97"/>
      <c r="J95" s="76"/>
      <c r="K95" s="76"/>
    </row>
    <row r="96" spans="1:11" ht="18.75" customHeight="1" x14ac:dyDescent="0.25">
      <c r="A96" s="88" t="s">
        <v>79</v>
      </c>
      <c r="B96" s="91"/>
      <c r="C96" s="90">
        <v>1234</v>
      </c>
      <c r="D96" s="91"/>
      <c r="E96" s="4"/>
      <c r="F96" s="91"/>
      <c r="G96" s="93">
        <f t="shared" si="2"/>
        <v>0</v>
      </c>
      <c r="H96" s="86"/>
      <c r="I96" s="86"/>
      <c r="J96" s="70"/>
      <c r="K96" s="70"/>
    </row>
    <row r="97" spans="1:11" ht="18.75" customHeight="1" x14ac:dyDescent="0.25">
      <c r="A97" s="88" t="s">
        <v>443</v>
      </c>
      <c r="B97" s="91"/>
      <c r="C97" s="90">
        <v>172</v>
      </c>
      <c r="D97" s="91"/>
      <c r="E97" s="4"/>
      <c r="F97" s="91"/>
      <c r="G97" s="93">
        <f t="shared" si="2"/>
        <v>0</v>
      </c>
      <c r="H97" s="97"/>
      <c r="I97" s="86"/>
      <c r="J97" s="70"/>
      <c r="K97" s="70"/>
    </row>
    <row r="98" spans="1:11" ht="18.75" customHeight="1" x14ac:dyDescent="0.25">
      <c r="A98" s="88" t="s">
        <v>81</v>
      </c>
      <c r="B98" s="91"/>
      <c r="C98" s="90">
        <v>161</v>
      </c>
      <c r="D98" s="91"/>
      <c r="E98" s="4"/>
      <c r="F98" s="91"/>
      <c r="G98" s="93">
        <f t="shared" si="2"/>
        <v>0</v>
      </c>
      <c r="H98" s="97"/>
      <c r="I98" s="86"/>
      <c r="J98" s="70"/>
      <c r="K98" s="70"/>
    </row>
    <row r="99" spans="1:11" ht="18.75" customHeight="1" x14ac:dyDescent="0.25">
      <c r="A99" s="88" t="s">
        <v>534</v>
      </c>
      <c r="B99" s="91"/>
      <c r="C99" s="90">
        <v>923</v>
      </c>
      <c r="D99" s="91"/>
      <c r="E99" s="4"/>
      <c r="F99" s="91"/>
      <c r="G99" s="93">
        <f t="shared" si="2"/>
        <v>0</v>
      </c>
      <c r="H99" s="97"/>
      <c r="I99" s="86"/>
      <c r="J99" s="70"/>
      <c r="K99" s="70"/>
    </row>
    <row r="100" spans="1:11" ht="18.75" customHeight="1" x14ac:dyDescent="0.25">
      <c r="A100" s="88" t="s">
        <v>446</v>
      </c>
      <c r="B100" s="91"/>
      <c r="C100" s="90">
        <v>5975</v>
      </c>
      <c r="D100" s="91"/>
      <c r="E100" s="4"/>
      <c r="F100" s="91"/>
      <c r="G100" s="93">
        <f t="shared" si="2"/>
        <v>0</v>
      </c>
      <c r="H100" s="97"/>
      <c r="I100" s="86"/>
      <c r="J100" s="70"/>
      <c r="K100" s="70"/>
    </row>
    <row r="101" spans="1:11" ht="18.75" customHeight="1" x14ac:dyDescent="0.25">
      <c r="A101" s="88" t="s">
        <v>535</v>
      </c>
      <c r="B101" s="91"/>
      <c r="C101" s="90">
        <v>480</v>
      </c>
      <c r="D101" s="91"/>
      <c r="E101" s="4"/>
      <c r="F101" s="91"/>
      <c r="G101" s="93">
        <f t="shared" si="2"/>
        <v>0</v>
      </c>
      <c r="H101" s="97"/>
      <c r="I101" s="86"/>
      <c r="J101" s="70"/>
      <c r="K101" s="70"/>
    </row>
    <row r="102" spans="1:11" ht="18.75" customHeight="1" x14ac:dyDescent="0.25">
      <c r="A102" s="88" t="s">
        <v>160</v>
      </c>
      <c r="B102" s="91"/>
      <c r="C102" s="90">
        <v>676</v>
      </c>
      <c r="D102" s="91"/>
      <c r="E102" s="4"/>
      <c r="F102" s="91"/>
      <c r="G102" s="93">
        <f t="shared" si="2"/>
        <v>0</v>
      </c>
      <c r="H102" s="86"/>
      <c r="I102" s="86"/>
      <c r="J102" s="70"/>
      <c r="K102" s="70"/>
    </row>
    <row r="103" spans="1:11" ht="18.75" customHeight="1" x14ac:dyDescent="0.25">
      <c r="A103" s="88" t="s">
        <v>161</v>
      </c>
      <c r="B103" s="91"/>
      <c r="C103" s="90">
        <v>1065</v>
      </c>
      <c r="D103" s="91"/>
      <c r="E103" s="4"/>
      <c r="F103" s="91"/>
      <c r="G103" s="93">
        <f t="shared" si="2"/>
        <v>0</v>
      </c>
      <c r="H103" s="86"/>
      <c r="I103" s="86"/>
      <c r="J103" s="70"/>
      <c r="K103" s="70"/>
    </row>
    <row r="104" spans="1:11" ht="18.75" customHeight="1" x14ac:dyDescent="0.25">
      <c r="A104" s="88" t="s">
        <v>447</v>
      </c>
      <c r="B104" s="91"/>
      <c r="C104" s="90">
        <v>356</v>
      </c>
      <c r="D104" s="91"/>
      <c r="E104" s="4"/>
      <c r="F104" s="91"/>
      <c r="G104" s="93">
        <f t="shared" si="2"/>
        <v>0</v>
      </c>
      <c r="H104" s="97"/>
      <c r="I104" s="86"/>
      <c r="J104" s="70"/>
      <c r="K104" s="70"/>
    </row>
    <row r="105" spans="1:11" ht="18.75" customHeight="1" x14ac:dyDescent="0.25">
      <c r="A105" s="88" t="s">
        <v>536</v>
      </c>
      <c r="B105" s="91"/>
      <c r="C105" s="90">
        <v>525</v>
      </c>
      <c r="D105" s="91"/>
      <c r="E105" s="4"/>
      <c r="F105" s="91"/>
      <c r="G105" s="93">
        <f t="shared" si="2"/>
        <v>0</v>
      </c>
      <c r="H105" s="97"/>
      <c r="I105" s="86"/>
      <c r="J105" s="70"/>
      <c r="K105" s="70"/>
    </row>
    <row r="106" spans="1:11" ht="18.75" customHeight="1" x14ac:dyDescent="0.25">
      <c r="A106" s="88" t="s">
        <v>448</v>
      </c>
      <c r="B106" s="91"/>
      <c r="C106" s="90">
        <v>350</v>
      </c>
      <c r="D106" s="91"/>
      <c r="E106" s="4"/>
      <c r="F106" s="91"/>
      <c r="G106" s="93">
        <f t="shared" si="2"/>
        <v>0</v>
      </c>
      <c r="H106" s="97"/>
      <c r="I106" s="86"/>
      <c r="J106" s="70"/>
      <c r="K106" s="70"/>
    </row>
    <row r="107" spans="1:11" ht="18.75" customHeight="1" x14ac:dyDescent="0.25">
      <c r="A107" s="88" t="s">
        <v>537</v>
      </c>
      <c r="B107" s="91"/>
      <c r="C107" s="90">
        <v>355</v>
      </c>
      <c r="D107" s="91"/>
      <c r="E107" s="4"/>
      <c r="F107" s="91"/>
      <c r="G107" s="93">
        <f t="shared" si="2"/>
        <v>0</v>
      </c>
      <c r="H107" s="97"/>
      <c r="I107" s="86"/>
      <c r="J107" s="70"/>
      <c r="K107" s="70"/>
    </row>
    <row r="108" spans="1:11" ht="18.75" customHeight="1" x14ac:dyDescent="0.25">
      <c r="A108" s="88" t="s">
        <v>538</v>
      </c>
      <c r="B108" s="91"/>
      <c r="C108" s="90">
        <v>357</v>
      </c>
      <c r="D108" s="91"/>
      <c r="E108" s="4"/>
      <c r="F108" s="91"/>
      <c r="G108" s="93">
        <f t="shared" si="2"/>
        <v>0</v>
      </c>
      <c r="H108" s="97"/>
      <c r="I108" s="86"/>
      <c r="J108" s="70"/>
      <c r="K108" s="70"/>
    </row>
    <row r="109" spans="1:11" ht="18.75" customHeight="1" x14ac:dyDescent="0.25">
      <c r="A109" s="88" t="s">
        <v>162</v>
      </c>
      <c r="B109" s="91"/>
      <c r="C109" s="90">
        <v>2297</v>
      </c>
      <c r="D109" s="91"/>
      <c r="E109" s="4"/>
      <c r="F109" s="91"/>
      <c r="G109" s="93">
        <f t="shared" si="2"/>
        <v>0</v>
      </c>
      <c r="H109" s="86"/>
      <c r="I109" s="86"/>
      <c r="J109" s="70"/>
      <c r="K109" s="70"/>
    </row>
    <row r="110" spans="1:11" s="77" customFormat="1" ht="18.75" customHeight="1" x14ac:dyDescent="0.25">
      <c r="A110" s="88" t="s">
        <v>539</v>
      </c>
      <c r="B110" s="91"/>
      <c r="C110" s="90">
        <v>1482</v>
      </c>
      <c r="D110" s="91"/>
      <c r="E110" s="4"/>
      <c r="F110" s="91"/>
      <c r="G110" s="93">
        <f t="shared" si="2"/>
        <v>0</v>
      </c>
      <c r="H110" s="97"/>
      <c r="I110" s="97"/>
      <c r="J110" s="76"/>
      <c r="K110" s="76"/>
    </row>
    <row r="111" spans="1:11" ht="18.75" customHeight="1" x14ac:dyDescent="0.25">
      <c r="A111" s="88" t="s">
        <v>163</v>
      </c>
      <c r="B111" s="91"/>
      <c r="C111" s="90">
        <v>2327</v>
      </c>
      <c r="D111" s="91"/>
      <c r="E111" s="4"/>
      <c r="F111" s="91"/>
      <c r="G111" s="93">
        <f t="shared" si="2"/>
        <v>0</v>
      </c>
      <c r="H111" s="86"/>
      <c r="I111" s="86"/>
      <c r="J111" s="70"/>
      <c r="K111" s="70"/>
    </row>
    <row r="112" spans="1:11" ht="18.75" customHeight="1" x14ac:dyDescent="0.25">
      <c r="A112" s="88" t="s">
        <v>164</v>
      </c>
      <c r="B112" s="91"/>
      <c r="C112" s="90">
        <v>600</v>
      </c>
      <c r="D112" s="91"/>
      <c r="E112" s="4"/>
      <c r="F112" s="91"/>
      <c r="G112" s="93">
        <f t="shared" si="2"/>
        <v>0</v>
      </c>
      <c r="H112" s="86"/>
      <c r="I112" s="86"/>
      <c r="J112" s="70"/>
      <c r="K112" s="70"/>
    </row>
    <row r="113" spans="1:11" ht="18.75" customHeight="1" x14ac:dyDescent="0.25">
      <c r="A113" s="88" t="s">
        <v>540</v>
      </c>
      <c r="B113" s="91"/>
      <c r="C113" s="90">
        <v>5131</v>
      </c>
      <c r="D113" s="91"/>
      <c r="E113" s="4"/>
      <c r="F113" s="91"/>
      <c r="G113" s="93">
        <f t="shared" si="2"/>
        <v>0</v>
      </c>
      <c r="H113" s="97"/>
      <c r="I113" s="86"/>
      <c r="J113" s="70"/>
      <c r="K113" s="70"/>
    </row>
    <row r="114" spans="1:11" ht="18.75" customHeight="1" x14ac:dyDescent="0.25">
      <c r="A114" s="88" t="s">
        <v>541</v>
      </c>
      <c r="B114" s="91"/>
      <c r="C114" s="90">
        <v>3161</v>
      </c>
      <c r="D114" s="91"/>
      <c r="E114" s="4"/>
      <c r="F114" s="91"/>
      <c r="G114" s="93">
        <f t="shared" si="2"/>
        <v>0</v>
      </c>
      <c r="H114" s="97"/>
      <c r="I114" s="86"/>
      <c r="J114" s="70"/>
      <c r="K114" s="70"/>
    </row>
    <row r="115" spans="1:11" ht="18.75" customHeight="1" x14ac:dyDescent="0.25">
      <c r="A115" s="88" t="s">
        <v>165</v>
      </c>
      <c r="B115" s="91"/>
      <c r="C115" s="90">
        <v>582</v>
      </c>
      <c r="D115" s="91"/>
      <c r="E115" s="4"/>
      <c r="F115" s="91"/>
      <c r="G115" s="93">
        <f t="shared" si="2"/>
        <v>0</v>
      </c>
      <c r="H115" s="86"/>
      <c r="I115" s="86"/>
      <c r="J115" s="70"/>
      <c r="K115" s="70"/>
    </row>
    <row r="116" spans="1:11" ht="18.75" customHeight="1" x14ac:dyDescent="0.25">
      <c r="A116" s="88" t="s">
        <v>86</v>
      </c>
      <c r="B116" s="91"/>
      <c r="C116" s="90">
        <v>2922</v>
      </c>
      <c r="D116" s="91"/>
      <c r="E116" s="4"/>
      <c r="F116" s="91"/>
      <c r="G116" s="93">
        <f t="shared" si="2"/>
        <v>0</v>
      </c>
      <c r="H116" s="86"/>
      <c r="I116" s="86"/>
      <c r="J116" s="70"/>
      <c r="K116" s="70"/>
    </row>
    <row r="117" spans="1:11" s="77" customFormat="1" ht="18.75" customHeight="1" x14ac:dyDescent="0.25">
      <c r="A117" s="88" t="s">
        <v>542</v>
      </c>
      <c r="B117" s="91"/>
      <c r="C117" s="90">
        <v>358</v>
      </c>
      <c r="D117" s="91"/>
      <c r="E117" s="4"/>
      <c r="F117" s="91"/>
      <c r="G117" s="93">
        <f t="shared" si="2"/>
        <v>0</v>
      </c>
      <c r="H117" s="97"/>
      <c r="I117" s="97"/>
      <c r="J117" s="76"/>
      <c r="K117" s="76"/>
    </row>
    <row r="118" spans="1:11" ht="18.75" customHeight="1" x14ac:dyDescent="0.25">
      <c r="A118" s="88" t="s">
        <v>166</v>
      </c>
      <c r="B118" s="91"/>
      <c r="C118" s="90">
        <v>1420</v>
      </c>
      <c r="D118" s="91"/>
      <c r="E118" s="4"/>
      <c r="F118" s="91"/>
      <c r="G118" s="93">
        <f t="shared" si="2"/>
        <v>0</v>
      </c>
      <c r="H118" s="86"/>
      <c r="I118" s="86"/>
      <c r="J118" s="70"/>
      <c r="K118" s="70"/>
    </row>
    <row r="119" spans="1:11" ht="18.75" customHeight="1" x14ac:dyDescent="0.25">
      <c r="A119" s="88" t="s">
        <v>88</v>
      </c>
      <c r="B119" s="91"/>
      <c r="C119" s="90">
        <v>1531</v>
      </c>
      <c r="D119" s="91"/>
      <c r="E119" s="4"/>
      <c r="F119" s="91"/>
      <c r="G119" s="93">
        <f t="shared" si="2"/>
        <v>0</v>
      </c>
      <c r="H119" s="86"/>
      <c r="I119" s="86"/>
      <c r="J119" s="70"/>
      <c r="K119" s="70"/>
    </row>
    <row r="120" spans="1:11" ht="18.75" customHeight="1" x14ac:dyDescent="0.25">
      <c r="A120" s="88" t="s">
        <v>167</v>
      </c>
      <c r="B120" s="91"/>
      <c r="C120" s="90">
        <v>718</v>
      </c>
      <c r="D120" s="91"/>
      <c r="E120" s="4"/>
      <c r="F120" s="91"/>
      <c r="G120" s="93">
        <f t="shared" si="2"/>
        <v>0</v>
      </c>
      <c r="H120" s="86"/>
      <c r="I120" s="86"/>
      <c r="J120" s="70"/>
      <c r="K120" s="70"/>
    </row>
    <row r="121" spans="1:11" ht="18.75" customHeight="1" x14ac:dyDescent="0.25">
      <c r="A121" s="88" t="s">
        <v>168</v>
      </c>
      <c r="B121" s="91"/>
      <c r="C121" s="90">
        <v>1185</v>
      </c>
      <c r="D121" s="91"/>
      <c r="E121" s="4"/>
      <c r="F121" s="91"/>
      <c r="G121" s="93">
        <f t="shared" si="2"/>
        <v>0</v>
      </c>
      <c r="H121" s="86"/>
      <c r="I121" s="86"/>
      <c r="J121" s="70"/>
      <c r="K121" s="70"/>
    </row>
    <row r="122" spans="1:11" s="77" customFormat="1" ht="18.75" customHeight="1" x14ac:dyDescent="0.25">
      <c r="A122" s="88" t="s">
        <v>454</v>
      </c>
      <c r="B122" s="91"/>
      <c r="C122" s="90">
        <v>364</v>
      </c>
      <c r="D122" s="91"/>
      <c r="E122" s="4"/>
      <c r="F122" s="91"/>
      <c r="G122" s="93">
        <f t="shared" si="2"/>
        <v>0</v>
      </c>
      <c r="H122" s="97"/>
      <c r="I122" s="97"/>
      <c r="J122" s="76"/>
      <c r="K122" s="76"/>
    </row>
    <row r="123" spans="1:11" ht="18.75" customHeight="1" x14ac:dyDescent="0.25">
      <c r="A123" s="88" t="s">
        <v>92</v>
      </c>
      <c r="B123" s="91"/>
      <c r="C123" s="90">
        <v>4048</v>
      </c>
      <c r="D123" s="91"/>
      <c r="E123" s="4"/>
      <c r="F123" s="91"/>
      <c r="G123" s="93">
        <f t="shared" si="2"/>
        <v>0</v>
      </c>
      <c r="H123" s="86"/>
      <c r="I123" s="86"/>
      <c r="J123" s="70"/>
      <c r="K123" s="70"/>
    </row>
    <row r="124" spans="1:11" ht="18.75" customHeight="1" x14ac:dyDescent="0.25">
      <c r="A124" s="88" t="s">
        <v>543</v>
      </c>
      <c r="B124" s="91"/>
      <c r="C124" s="90">
        <v>173</v>
      </c>
      <c r="D124" s="91"/>
      <c r="E124" s="4"/>
      <c r="F124" s="91"/>
      <c r="G124" s="93">
        <f t="shared" si="2"/>
        <v>0</v>
      </c>
      <c r="H124" s="97"/>
      <c r="I124" s="97"/>
      <c r="J124" s="76"/>
      <c r="K124" s="70"/>
    </row>
    <row r="125" spans="1:11" ht="18.75" customHeight="1" x14ac:dyDescent="0.25">
      <c r="A125" s="88" t="s">
        <v>544</v>
      </c>
      <c r="B125" s="91"/>
      <c r="C125" s="90">
        <v>171</v>
      </c>
      <c r="D125" s="91"/>
      <c r="E125" s="4"/>
      <c r="F125" s="91"/>
      <c r="G125" s="93">
        <f t="shared" si="2"/>
        <v>0</v>
      </c>
      <c r="H125" s="97"/>
      <c r="I125" s="97"/>
      <c r="J125" s="76"/>
      <c r="K125" s="70"/>
    </row>
    <row r="126" spans="1:11" ht="18.75" customHeight="1" x14ac:dyDescent="0.25">
      <c r="A126" s="88" t="s">
        <v>169</v>
      </c>
      <c r="B126" s="91"/>
      <c r="C126" s="90">
        <v>560</v>
      </c>
      <c r="D126" s="91"/>
      <c r="E126" s="4"/>
      <c r="F126" s="91"/>
      <c r="G126" s="93">
        <f t="shared" si="2"/>
        <v>0</v>
      </c>
      <c r="H126" s="86"/>
      <c r="I126" s="86"/>
      <c r="J126" s="70"/>
      <c r="K126" s="70"/>
    </row>
    <row r="127" spans="1:11" ht="18.75" customHeight="1" x14ac:dyDescent="0.25">
      <c r="A127" s="88" t="s">
        <v>170</v>
      </c>
      <c r="B127" s="91"/>
      <c r="C127" s="90">
        <v>888</v>
      </c>
      <c r="D127" s="91"/>
      <c r="E127" s="4"/>
      <c r="F127" s="91"/>
      <c r="G127" s="93">
        <f t="shared" si="2"/>
        <v>0</v>
      </c>
      <c r="H127" s="86"/>
      <c r="I127" s="86"/>
      <c r="J127" s="70"/>
      <c r="K127" s="70"/>
    </row>
    <row r="128" spans="1:11" ht="18.75" customHeight="1" x14ac:dyDescent="0.25">
      <c r="A128" s="88" t="s">
        <v>93</v>
      </c>
      <c r="B128" s="91"/>
      <c r="C128" s="90">
        <v>13302</v>
      </c>
      <c r="D128" s="91"/>
      <c r="E128" s="4"/>
      <c r="F128" s="91"/>
      <c r="G128" s="93">
        <f t="shared" si="2"/>
        <v>0</v>
      </c>
      <c r="H128" s="86"/>
      <c r="I128" s="86"/>
      <c r="J128" s="70"/>
      <c r="K128" s="70"/>
    </row>
    <row r="129" spans="1:11" ht="21.75" customHeight="1" x14ac:dyDescent="0.25">
      <c r="A129" s="88" t="s">
        <v>171</v>
      </c>
      <c r="B129" s="91"/>
      <c r="C129" s="90">
        <v>5717</v>
      </c>
      <c r="D129" s="91"/>
      <c r="E129" s="4"/>
      <c r="F129" s="91"/>
      <c r="G129" s="93">
        <f t="shared" si="2"/>
        <v>0</v>
      </c>
      <c r="H129" s="86"/>
      <c r="I129" s="86"/>
      <c r="J129" s="70"/>
      <c r="K129" s="70"/>
    </row>
    <row r="130" spans="1:11" ht="18.75" customHeight="1" x14ac:dyDescent="0.25">
      <c r="A130" s="88" t="s">
        <v>102</v>
      </c>
      <c r="B130" s="91"/>
      <c r="C130" s="90">
        <v>1107</v>
      </c>
      <c r="D130" s="91"/>
      <c r="E130" s="4"/>
      <c r="F130" s="91"/>
      <c r="G130" s="93">
        <f t="shared" si="2"/>
        <v>0</v>
      </c>
      <c r="H130" s="86"/>
      <c r="I130" s="86"/>
      <c r="J130" s="70"/>
      <c r="K130" s="70"/>
    </row>
    <row r="131" spans="1:11" ht="18.75" customHeight="1" x14ac:dyDescent="0.25">
      <c r="A131" s="88" t="s">
        <v>172</v>
      </c>
      <c r="B131" s="91"/>
      <c r="C131" s="90">
        <v>1086</v>
      </c>
      <c r="D131" s="91"/>
      <c r="E131" s="4"/>
      <c r="F131" s="91"/>
      <c r="G131" s="93">
        <f t="shared" si="2"/>
        <v>0</v>
      </c>
      <c r="H131" s="86"/>
      <c r="I131" s="86"/>
      <c r="J131" s="70"/>
      <c r="K131" s="70"/>
    </row>
    <row r="132" spans="1:11" ht="18.75" customHeight="1" x14ac:dyDescent="0.25">
      <c r="A132" s="88" t="s">
        <v>173</v>
      </c>
      <c r="B132" s="91"/>
      <c r="C132" s="90">
        <v>1508</v>
      </c>
      <c r="D132" s="91"/>
      <c r="E132" s="4"/>
      <c r="F132" s="91"/>
      <c r="G132" s="93">
        <f t="shared" si="2"/>
        <v>0</v>
      </c>
      <c r="H132" s="86"/>
      <c r="I132" s="86"/>
      <c r="J132" s="70"/>
      <c r="K132" s="70"/>
    </row>
    <row r="133" spans="1:11" ht="18.75" customHeight="1" x14ac:dyDescent="0.25">
      <c r="A133" s="88" t="s">
        <v>545</v>
      </c>
      <c r="B133" s="91"/>
      <c r="C133" s="90">
        <v>355</v>
      </c>
      <c r="D133" s="91"/>
      <c r="E133" s="4"/>
      <c r="F133" s="91"/>
      <c r="G133" s="93">
        <f t="shared" si="2"/>
        <v>0</v>
      </c>
      <c r="H133" s="97"/>
      <c r="I133" s="86"/>
      <c r="J133" s="70"/>
      <c r="K133" s="70"/>
    </row>
    <row r="134" spans="1:11" ht="18.75" customHeight="1" x14ac:dyDescent="0.25">
      <c r="A134" s="88" t="s">
        <v>546</v>
      </c>
      <c r="B134" s="91"/>
      <c r="C134" s="90">
        <v>463</v>
      </c>
      <c r="D134" s="91"/>
      <c r="E134" s="4"/>
      <c r="F134" s="91"/>
      <c r="G134" s="93">
        <f t="shared" si="2"/>
        <v>0</v>
      </c>
      <c r="H134" s="97"/>
      <c r="I134" s="86"/>
      <c r="J134" s="70"/>
      <c r="K134" s="70"/>
    </row>
    <row r="135" spans="1:11" ht="18.75" customHeight="1" x14ac:dyDescent="0.25">
      <c r="A135" s="88" t="s">
        <v>174</v>
      </c>
      <c r="B135" s="91"/>
      <c r="C135" s="90">
        <v>3577</v>
      </c>
      <c r="D135" s="91"/>
      <c r="E135" s="4"/>
      <c r="F135" s="91"/>
      <c r="G135" s="93">
        <f t="shared" si="2"/>
        <v>0</v>
      </c>
      <c r="H135" s="86"/>
      <c r="I135" s="86"/>
      <c r="J135" s="70"/>
      <c r="K135" s="70"/>
    </row>
    <row r="136" spans="1:11" ht="18.75" customHeight="1" x14ac:dyDescent="0.25">
      <c r="A136" s="88" t="s">
        <v>107</v>
      </c>
      <c r="B136" s="91"/>
      <c r="C136" s="90">
        <v>2790</v>
      </c>
      <c r="D136" s="91"/>
      <c r="E136" s="4"/>
      <c r="F136" s="91"/>
      <c r="G136" s="93">
        <f t="shared" si="2"/>
        <v>0</v>
      </c>
      <c r="H136" s="86"/>
      <c r="I136" s="86"/>
      <c r="J136" s="70"/>
      <c r="K136" s="70"/>
    </row>
    <row r="137" spans="1:11" ht="18.75" customHeight="1" x14ac:dyDescent="0.25">
      <c r="A137" s="88" t="s">
        <v>175</v>
      </c>
      <c r="B137" s="91"/>
      <c r="C137" s="90">
        <v>879</v>
      </c>
      <c r="D137" s="91"/>
      <c r="E137" s="4"/>
      <c r="F137" s="91"/>
      <c r="G137" s="93">
        <f t="shared" si="2"/>
        <v>0</v>
      </c>
      <c r="H137" s="86"/>
      <c r="I137" s="86"/>
      <c r="J137" s="70"/>
      <c r="K137" s="70"/>
    </row>
    <row r="138" spans="1:11" ht="18.75" customHeight="1" x14ac:dyDescent="0.25">
      <c r="A138" s="88" t="s">
        <v>108</v>
      </c>
      <c r="B138" s="91"/>
      <c r="C138" s="90">
        <v>753</v>
      </c>
      <c r="D138" s="91"/>
      <c r="E138" s="4"/>
      <c r="F138" s="91"/>
      <c r="G138" s="93">
        <f t="shared" si="2"/>
        <v>0</v>
      </c>
      <c r="H138" s="86"/>
      <c r="I138" s="86"/>
      <c r="J138" s="70"/>
      <c r="K138" s="70"/>
    </row>
    <row r="139" spans="1:11" s="77" customFormat="1" ht="18.75" customHeight="1" x14ac:dyDescent="0.25">
      <c r="A139" s="88" t="s">
        <v>547</v>
      </c>
      <c r="B139" s="91"/>
      <c r="C139" s="90">
        <v>559</v>
      </c>
      <c r="D139" s="91"/>
      <c r="E139" s="4"/>
      <c r="F139" s="91"/>
      <c r="G139" s="93">
        <f t="shared" si="2"/>
        <v>0</v>
      </c>
      <c r="H139" s="97"/>
      <c r="I139" s="97"/>
      <c r="J139" s="76"/>
      <c r="K139" s="76"/>
    </row>
    <row r="140" spans="1:11" ht="18.75" customHeight="1" x14ac:dyDescent="0.25">
      <c r="A140" s="88" t="s">
        <v>176</v>
      </c>
      <c r="B140" s="91"/>
      <c r="C140" s="90">
        <v>7557</v>
      </c>
      <c r="D140" s="91"/>
      <c r="E140" s="4"/>
      <c r="F140" s="91"/>
      <c r="G140" s="93">
        <f t="shared" si="2"/>
        <v>0</v>
      </c>
      <c r="H140" s="86"/>
      <c r="I140" s="86"/>
      <c r="J140" s="70"/>
      <c r="K140" s="70"/>
    </row>
    <row r="141" spans="1:11" ht="18.75" customHeight="1" x14ac:dyDescent="0.25">
      <c r="A141" s="88" t="s">
        <v>177</v>
      </c>
      <c r="B141" s="91"/>
      <c r="C141" s="90">
        <v>2446</v>
      </c>
      <c r="D141" s="91"/>
      <c r="E141" s="4"/>
      <c r="F141" s="91"/>
      <c r="G141" s="93">
        <f t="shared" si="2"/>
        <v>0</v>
      </c>
      <c r="H141" s="86"/>
      <c r="I141" s="86"/>
      <c r="J141" s="70"/>
      <c r="K141" s="70"/>
    </row>
    <row r="142" spans="1:11" ht="18.75" customHeight="1" x14ac:dyDescent="0.25">
      <c r="A142" s="88" t="s">
        <v>111</v>
      </c>
      <c r="B142" s="91"/>
      <c r="C142" s="90">
        <v>4985</v>
      </c>
      <c r="D142" s="91"/>
      <c r="E142" s="4"/>
      <c r="F142" s="91"/>
      <c r="G142" s="93">
        <f t="shared" si="2"/>
        <v>0</v>
      </c>
      <c r="H142" s="86"/>
      <c r="I142" s="86"/>
      <c r="J142" s="70"/>
      <c r="K142" s="70"/>
    </row>
    <row r="143" spans="1:11" ht="18.75" customHeight="1" x14ac:dyDescent="0.25">
      <c r="A143" s="88" t="s">
        <v>178</v>
      </c>
      <c r="B143" s="91"/>
      <c r="C143" s="90">
        <v>4056</v>
      </c>
      <c r="D143" s="91"/>
      <c r="E143" s="4"/>
      <c r="F143" s="91"/>
      <c r="G143" s="93">
        <f t="shared" si="2"/>
        <v>0</v>
      </c>
      <c r="H143" s="86"/>
      <c r="I143" s="86"/>
      <c r="J143" s="70"/>
      <c r="K143" s="70"/>
    </row>
    <row r="144" spans="1:11" ht="18.75" customHeight="1" x14ac:dyDescent="0.25">
      <c r="A144" s="57"/>
      <c r="B144" s="86"/>
      <c r="C144" s="58"/>
      <c r="D144" s="86"/>
      <c r="E144" s="99"/>
      <c r="F144" s="86"/>
      <c r="G144" s="98"/>
      <c r="H144" s="86"/>
      <c r="I144" s="86"/>
      <c r="J144" s="70"/>
      <c r="K144" s="70"/>
    </row>
    <row r="145" spans="1:13" s="26" customFormat="1" ht="18.75" customHeight="1" x14ac:dyDescent="0.25">
      <c r="A145" s="109" t="s">
        <v>513</v>
      </c>
      <c r="B145" s="109"/>
      <c r="C145" s="109"/>
      <c r="D145" s="109"/>
      <c r="E145" s="109"/>
      <c r="F145" s="53"/>
      <c r="G145" s="61">
        <f>SUM(G11:G143)</f>
        <v>0</v>
      </c>
      <c r="H145" s="53" t="s">
        <v>693</v>
      </c>
      <c r="I145" s="53"/>
      <c r="J145" s="29"/>
      <c r="K145" s="29"/>
      <c r="L145" s="29"/>
      <c r="M145" s="29"/>
    </row>
    <row r="146" spans="1:13" s="26" customFormat="1" ht="18.75" customHeight="1" x14ac:dyDescent="0.25">
      <c r="A146" s="62" t="s">
        <v>689</v>
      </c>
      <c r="B146" s="62"/>
      <c r="C146" s="5"/>
      <c r="D146" s="62"/>
      <c r="E146" s="62" t="s">
        <v>690</v>
      </c>
      <c r="F146" s="53"/>
      <c r="G146" s="63">
        <f>C146*12</f>
        <v>0</v>
      </c>
      <c r="H146" s="53" t="s">
        <v>694</v>
      </c>
      <c r="I146" s="53"/>
      <c r="J146" s="29"/>
      <c r="K146" s="29"/>
      <c r="L146" s="29"/>
      <c r="M146" s="29"/>
    </row>
    <row r="147" spans="1:13" s="26" customFormat="1" x14ac:dyDescent="0.25">
      <c r="A147" s="53"/>
      <c r="B147" s="53"/>
      <c r="C147" s="53"/>
      <c r="D147" s="53"/>
      <c r="E147" s="53"/>
      <c r="F147" s="53"/>
      <c r="G147" s="53"/>
      <c r="H147" s="53" t="s">
        <v>691</v>
      </c>
      <c r="I147" s="53"/>
      <c r="J147" s="29"/>
      <c r="K147" s="29"/>
      <c r="L147" s="29"/>
      <c r="M147" s="29"/>
    </row>
    <row r="148" spans="1:13" s="26" customFormat="1" x14ac:dyDescent="0.25">
      <c r="A148" s="67" t="s">
        <v>696</v>
      </c>
      <c r="B148" s="53"/>
      <c r="C148" s="53"/>
      <c r="D148" s="53"/>
      <c r="E148" s="53"/>
      <c r="F148" s="53"/>
      <c r="G148" s="64">
        <f>G145+G146</f>
        <v>0</v>
      </c>
      <c r="H148" s="53" t="s">
        <v>695</v>
      </c>
      <c r="I148" s="53"/>
      <c r="J148" s="29"/>
      <c r="K148" s="29"/>
      <c r="L148" s="29"/>
      <c r="M148" s="29"/>
    </row>
    <row r="149" spans="1:13" s="26" customFormat="1" x14ac:dyDescent="0.25">
      <c r="A149" s="67"/>
      <c r="B149" s="53"/>
      <c r="C149" s="53"/>
      <c r="D149" s="53"/>
      <c r="E149" s="53"/>
      <c r="F149" s="53"/>
      <c r="G149" s="65"/>
      <c r="H149" s="53"/>
      <c r="I149" s="53"/>
      <c r="J149" s="29"/>
      <c r="K149" s="29"/>
      <c r="L149" s="29"/>
      <c r="M149" s="29"/>
    </row>
    <row r="150" spans="1:13" s="26" customFormat="1" ht="15.75" thickBot="1" x14ac:dyDescent="0.3">
      <c r="A150" s="67" t="s">
        <v>697</v>
      </c>
      <c r="B150" s="53"/>
      <c r="C150" s="53"/>
      <c r="D150" s="53"/>
      <c r="E150" s="53"/>
      <c r="F150" s="53"/>
      <c r="G150" s="66">
        <f>G148*5</f>
        <v>0</v>
      </c>
      <c r="H150" s="53"/>
      <c r="I150" s="53"/>
      <c r="J150" s="29"/>
      <c r="K150" s="29"/>
      <c r="L150" s="29"/>
      <c r="M150" s="29"/>
    </row>
    <row r="151" spans="1:13" s="26" customFormat="1" x14ac:dyDescent="0.25">
      <c r="A151" s="67"/>
      <c r="B151" s="53"/>
      <c r="C151" s="53"/>
      <c r="D151" s="53"/>
      <c r="E151" s="53"/>
      <c r="F151" s="53"/>
      <c r="G151" s="65" t="s">
        <v>692</v>
      </c>
      <c r="H151" s="53"/>
      <c r="I151" s="53"/>
      <c r="J151" s="29"/>
      <c r="K151" s="29"/>
      <c r="L151" s="29"/>
      <c r="M151" s="29"/>
    </row>
    <row r="152" spans="1:13" s="26" customFormat="1" x14ac:dyDescent="0.25">
      <c r="A152" s="67"/>
      <c r="B152" s="53"/>
      <c r="C152" s="53"/>
      <c r="D152" s="53"/>
      <c r="E152" s="53"/>
      <c r="F152" s="53"/>
      <c r="G152" s="65" t="s">
        <v>704</v>
      </c>
      <c r="H152" s="53"/>
      <c r="I152" s="53"/>
      <c r="J152" s="29"/>
      <c r="K152" s="29"/>
      <c r="L152" s="29"/>
      <c r="M152" s="29"/>
    </row>
    <row r="153" spans="1:13" s="26" customFormat="1" x14ac:dyDescent="0.25">
      <c r="A153" s="67"/>
      <c r="B153" s="53"/>
      <c r="C153" s="53"/>
      <c r="D153" s="53"/>
      <c r="E153" s="53"/>
      <c r="F153" s="53"/>
      <c r="G153" s="65"/>
      <c r="H153" s="53"/>
      <c r="I153" s="53"/>
      <c r="J153" s="29"/>
      <c r="K153" s="29"/>
      <c r="L153" s="29"/>
      <c r="M153" s="29"/>
    </row>
    <row r="154" spans="1:13" s="26" customFormat="1" ht="15.75" x14ac:dyDescent="0.25">
      <c r="A154" s="32" t="s">
        <v>0</v>
      </c>
      <c r="B154" s="29"/>
      <c r="C154" s="29"/>
      <c r="D154" s="29"/>
      <c r="E154" s="29"/>
      <c r="F154" s="29"/>
      <c r="G154" s="29"/>
      <c r="H154" s="29"/>
      <c r="I154" s="29"/>
      <c r="K154" s="29"/>
      <c r="L154" s="29"/>
      <c r="M154" s="29"/>
    </row>
    <row r="155" spans="1:13" s="26" customFormat="1" x14ac:dyDescent="0.2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</row>
    <row r="156" spans="1:13" s="26" customFormat="1" ht="15.75" x14ac:dyDescent="0.25">
      <c r="A156" s="33" t="s">
        <v>1</v>
      </c>
      <c r="B156" s="33"/>
      <c r="C156" s="34"/>
      <c r="D156" s="34"/>
      <c r="E156" s="34"/>
      <c r="F156" s="34"/>
      <c r="G156" s="34"/>
      <c r="H156" s="35" t="s">
        <v>2</v>
      </c>
      <c r="I156" s="36"/>
      <c r="J156" s="34"/>
      <c r="K156" s="29"/>
      <c r="L156" s="29"/>
      <c r="M156" s="29"/>
    </row>
    <row r="157" spans="1:13" s="26" customFormat="1" ht="24.95" customHeight="1" x14ac:dyDescent="0.25">
      <c r="A157" s="33" t="s">
        <v>3</v>
      </c>
      <c r="B157" s="33"/>
      <c r="C157" s="107"/>
      <c r="D157" s="108"/>
      <c r="E157" s="108"/>
      <c r="F157" s="108"/>
      <c r="G157" s="108"/>
      <c r="H157" s="108"/>
      <c r="I157" s="108"/>
      <c r="J157" s="108"/>
      <c r="K157" s="29"/>
      <c r="L157" s="29"/>
      <c r="M157" s="29"/>
    </row>
    <row r="158" spans="1:13" s="26" customFormat="1" ht="24.95" customHeight="1" x14ac:dyDescent="0.25">
      <c r="A158" s="33" t="s">
        <v>698</v>
      </c>
      <c r="B158" s="33"/>
      <c r="C158" s="105"/>
      <c r="D158" s="106"/>
      <c r="E158" s="106"/>
      <c r="F158" s="106"/>
      <c r="G158" s="106"/>
      <c r="H158" s="106"/>
      <c r="I158" s="106"/>
      <c r="J158" s="106"/>
      <c r="K158" s="29"/>
      <c r="L158" s="29"/>
      <c r="M158" s="29"/>
    </row>
    <row r="159" spans="1:13" s="26" customFormat="1" ht="24.95" customHeight="1" x14ac:dyDescent="0.25">
      <c r="A159" s="33" t="s">
        <v>699</v>
      </c>
      <c r="B159" s="33"/>
      <c r="C159" s="105"/>
      <c r="D159" s="106"/>
      <c r="E159" s="106"/>
      <c r="F159" s="106"/>
      <c r="G159" s="106"/>
      <c r="H159" s="106"/>
      <c r="I159" s="106"/>
      <c r="J159" s="106"/>
      <c r="K159" s="29"/>
      <c r="L159" s="29"/>
      <c r="M159" s="29"/>
    </row>
    <row r="160" spans="1:13" s="26" customFormat="1" ht="24.95" customHeight="1" x14ac:dyDescent="0.25">
      <c r="A160" s="33" t="s">
        <v>700</v>
      </c>
      <c r="B160" s="33"/>
      <c r="C160" s="105"/>
      <c r="D160" s="106"/>
      <c r="E160" s="106"/>
      <c r="F160" s="106"/>
      <c r="G160" s="106"/>
      <c r="H160" s="106"/>
      <c r="I160" s="106"/>
      <c r="J160" s="106"/>
      <c r="K160" s="29"/>
      <c r="L160" s="29"/>
      <c r="M160" s="29"/>
    </row>
    <row r="161" spans="1:13" s="26" customFormat="1" ht="24.95" customHeight="1" x14ac:dyDescent="0.25">
      <c r="A161" s="33" t="s">
        <v>701</v>
      </c>
      <c r="B161" s="33"/>
      <c r="C161" s="105"/>
      <c r="D161" s="106"/>
      <c r="E161" s="106"/>
      <c r="F161" s="106"/>
      <c r="G161" s="106"/>
      <c r="H161" s="106"/>
      <c r="I161" s="106"/>
      <c r="J161" s="106"/>
      <c r="K161" s="29"/>
      <c r="L161" s="29"/>
      <c r="M161" s="29"/>
    </row>
    <row r="162" spans="1:13" s="26" customFormat="1" ht="38.25" customHeight="1" x14ac:dyDescent="0.25">
      <c r="A162" s="37" t="s">
        <v>702</v>
      </c>
      <c r="B162" s="33"/>
      <c r="C162" s="107"/>
      <c r="D162" s="108"/>
      <c r="E162" s="108"/>
      <c r="F162" s="108"/>
      <c r="G162" s="108"/>
      <c r="H162" s="108"/>
      <c r="I162" s="108"/>
      <c r="J162" s="108"/>
      <c r="K162" s="29"/>
      <c r="L162" s="29"/>
      <c r="M162" s="29"/>
    </row>
    <row r="163" spans="1:13" s="26" customFormat="1" ht="24.95" customHeight="1" x14ac:dyDescent="0.25">
      <c r="A163" s="33" t="s">
        <v>4</v>
      </c>
      <c r="B163" s="33"/>
      <c r="C163" s="105"/>
      <c r="D163" s="106"/>
      <c r="E163" s="106"/>
      <c r="F163" s="106"/>
      <c r="G163" s="106"/>
      <c r="H163" s="106"/>
      <c r="I163" s="106"/>
      <c r="J163" s="106"/>
      <c r="K163" s="29"/>
      <c r="L163" s="29"/>
      <c r="M163" s="29"/>
    </row>
    <row r="164" spans="1:13" s="26" customFormat="1" ht="24.95" customHeight="1" x14ac:dyDescent="0.25">
      <c r="A164" s="33" t="s">
        <v>117</v>
      </c>
      <c r="B164" s="33"/>
      <c r="C164" s="105"/>
      <c r="D164" s="106"/>
      <c r="E164" s="106"/>
      <c r="F164" s="106"/>
      <c r="G164" s="106"/>
      <c r="H164" s="106"/>
      <c r="I164" s="106"/>
      <c r="J164" s="106"/>
      <c r="K164" s="29"/>
      <c r="L164" s="29"/>
      <c r="M164" s="29"/>
    </row>
    <row r="165" spans="1:13" x14ac:dyDescent="0.25">
      <c r="A165" s="70"/>
      <c r="B165" s="70"/>
      <c r="C165" s="70"/>
      <c r="D165" s="70"/>
      <c r="E165" s="70"/>
      <c r="F165" s="70"/>
      <c r="G165" s="70"/>
      <c r="H165" s="70"/>
      <c r="I165" s="70"/>
      <c r="J165" s="70"/>
      <c r="K165" s="70"/>
    </row>
    <row r="166" spans="1:13" x14ac:dyDescent="0.25">
      <c r="A166" s="70"/>
      <c r="B166" s="70"/>
      <c r="C166" s="70"/>
      <c r="D166" s="70"/>
      <c r="E166" s="70"/>
      <c r="F166" s="70"/>
      <c r="G166" s="70"/>
      <c r="H166" s="70"/>
      <c r="I166" s="70"/>
      <c r="J166" s="70"/>
      <c r="K166" s="70"/>
    </row>
    <row r="167" spans="1:13" x14ac:dyDescent="0.25">
      <c r="A167" s="70"/>
      <c r="B167" s="70"/>
      <c r="C167" s="70"/>
      <c r="D167" s="70"/>
      <c r="E167" s="70"/>
      <c r="F167" s="70"/>
      <c r="G167" s="70"/>
      <c r="H167" s="70"/>
      <c r="I167" s="70"/>
      <c r="J167" s="70"/>
      <c r="K167" s="70"/>
    </row>
    <row r="168" spans="1:13" x14ac:dyDescent="0.25">
      <c r="A168" s="70"/>
      <c r="B168" s="70"/>
      <c r="C168" s="70"/>
      <c r="D168" s="70"/>
      <c r="E168" s="70"/>
      <c r="F168" s="70"/>
      <c r="G168" s="70"/>
      <c r="H168" s="70"/>
      <c r="I168" s="70"/>
      <c r="J168" s="70"/>
      <c r="K168" s="70"/>
    </row>
    <row r="169" spans="1:13" x14ac:dyDescent="0.25">
      <c r="A169" s="70"/>
      <c r="B169" s="70"/>
      <c r="C169" s="70"/>
      <c r="D169" s="70"/>
      <c r="E169" s="70"/>
      <c r="F169" s="70"/>
      <c r="G169" s="70"/>
      <c r="H169" s="70"/>
      <c r="I169" s="70"/>
      <c r="J169" s="70"/>
      <c r="K169" s="70"/>
    </row>
    <row r="170" spans="1:13" x14ac:dyDescent="0.25">
      <c r="A170" s="70"/>
      <c r="B170" s="70"/>
      <c r="C170" s="70"/>
      <c r="D170" s="70"/>
      <c r="E170" s="70"/>
      <c r="F170" s="70"/>
      <c r="G170" s="70"/>
      <c r="H170" s="70"/>
      <c r="I170" s="70"/>
      <c r="J170" s="70"/>
      <c r="K170" s="70"/>
    </row>
    <row r="171" spans="1:13" x14ac:dyDescent="0.25">
      <c r="A171" s="70"/>
      <c r="B171" s="70"/>
      <c r="C171" s="70"/>
      <c r="D171" s="70"/>
      <c r="E171" s="70"/>
      <c r="F171" s="70"/>
      <c r="G171" s="70"/>
      <c r="H171" s="70"/>
      <c r="I171" s="70"/>
      <c r="J171" s="70"/>
      <c r="K171" s="70"/>
    </row>
    <row r="172" spans="1:13" x14ac:dyDescent="0.25">
      <c r="A172" s="70"/>
      <c r="B172" s="70"/>
      <c r="C172" s="70"/>
      <c r="D172" s="70"/>
      <c r="E172" s="70"/>
      <c r="F172" s="70"/>
      <c r="G172" s="70"/>
      <c r="H172" s="70"/>
      <c r="I172" s="70"/>
      <c r="J172" s="70"/>
      <c r="K172" s="70"/>
    </row>
    <row r="173" spans="1:13" x14ac:dyDescent="0.25">
      <c r="A173" s="70"/>
      <c r="B173" s="70"/>
      <c r="C173" s="70"/>
      <c r="D173" s="70"/>
      <c r="E173" s="70"/>
      <c r="F173" s="70"/>
      <c r="G173" s="70"/>
      <c r="H173" s="70"/>
      <c r="I173" s="70"/>
      <c r="J173" s="70"/>
      <c r="K173" s="70"/>
    </row>
    <row r="174" spans="1:13" x14ac:dyDescent="0.25">
      <c r="A174" s="70"/>
      <c r="B174" s="70"/>
      <c r="C174" s="70"/>
      <c r="D174" s="70"/>
      <c r="E174" s="70"/>
      <c r="F174" s="70"/>
      <c r="G174" s="70"/>
      <c r="H174" s="70"/>
      <c r="I174" s="70"/>
      <c r="J174" s="70"/>
      <c r="K174" s="70"/>
    </row>
    <row r="175" spans="1:13" x14ac:dyDescent="0.25">
      <c r="A175" s="70"/>
      <c r="B175" s="70"/>
      <c r="C175" s="70"/>
      <c r="D175" s="70"/>
      <c r="E175" s="70"/>
      <c r="F175" s="70"/>
      <c r="G175" s="70"/>
      <c r="H175" s="70"/>
      <c r="I175" s="70"/>
      <c r="J175" s="70"/>
      <c r="K175" s="70"/>
    </row>
    <row r="176" spans="1:13" x14ac:dyDescent="0.25">
      <c r="A176" s="70"/>
      <c r="B176" s="70"/>
      <c r="C176" s="70"/>
      <c r="D176" s="70"/>
      <c r="E176" s="70"/>
      <c r="F176" s="70"/>
      <c r="G176" s="70"/>
      <c r="H176" s="70"/>
      <c r="I176" s="70"/>
      <c r="J176" s="70"/>
      <c r="K176" s="70"/>
    </row>
    <row r="177" spans="1:11" x14ac:dyDescent="0.25">
      <c r="A177" s="70"/>
      <c r="B177" s="70"/>
      <c r="C177" s="70"/>
      <c r="D177" s="70"/>
      <c r="E177" s="70"/>
      <c r="F177" s="70"/>
      <c r="G177" s="70"/>
      <c r="H177" s="70"/>
      <c r="I177" s="70"/>
      <c r="J177" s="70"/>
      <c r="K177" s="70"/>
    </row>
    <row r="178" spans="1:11" x14ac:dyDescent="0.25">
      <c r="A178" s="70"/>
      <c r="B178" s="70"/>
      <c r="C178" s="70"/>
      <c r="D178" s="70"/>
      <c r="E178" s="70"/>
      <c r="F178" s="70"/>
      <c r="G178" s="70"/>
      <c r="H178" s="70"/>
      <c r="I178" s="70"/>
      <c r="J178" s="70"/>
      <c r="K178" s="70"/>
    </row>
    <row r="179" spans="1:11" x14ac:dyDescent="0.25">
      <c r="A179" s="70"/>
      <c r="B179" s="70"/>
      <c r="C179" s="70"/>
      <c r="D179" s="70"/>
      <c r="E179" s="70"/>
      <c r="F179" s="70"/>
      <c r="G179" s="70"/>
      <c r="H179" s="70"/>
      <c r="I179" s="70"/>
      <c r="J179" s="70"/>
      <c r="K179" s="70"/>
    </row>
    <row r="180" spans="1:11" x14ac:dyDescent="0.25">
      <c r="A180" s="70"/>
      <c r="B180" s="70"/>
      <c r="C180" s="70"/>
      <c r="D180" s="70"/>
      <c r="E180" s="70"/>
      <c r="F180" s="70"/>
      <c r="G180" s="70"/>
      <c r="H180" s="70"/>
      <c r="I180" s="70"/>
      <c r="J180" s="70"/>
      <c r="K180" s="70"/>
    </row>
    <row r="181" spans="1:11" x14ac:dyDescent="0.25">
      <c r="A181" s="70"/>
      <c r="B181" s="70"/>
      <c r="C181" s="70"/>
      <c r="D181" s="70"/>
      <c r="E181" s="70"/>
      <c r="F181" s="70"/>
      <c r="G181" s="70"/>
      <c r="H181" s="70"/>
      <c r="I181" s="70"/>
      <c r="J181" s="70"/>
      <c r="K181" s="70"/>
    </row>
    <row r="182" spans="1:11" x14ac:dyDescent="0.25">
      <c r="A182" s="70"/>
      <c r="B182" s="70"/>
      <c r="C182" s="70"/>
      <c r="D182" s="70"/>
      <c r="E182" s="70"/>
      <c r="F182" s="70"/>
      <c r="G182" s="70"/>
      <c r="H182" s="70"/>
      <c r="I182" s="70"/>
      <c r="J182" s="70"/>
      <c r="K182" s="70"/>
    </row>
    <row r="183" spans="1:11" x14ac:dyDescent="0.25">
      <c r="A183" s="70"/>
      <c r="B183" s="70"/>
      <c r="C183" s="70"/>
      <c r="D183" s="70"/>
      <c r="E183" s="70"/>
      <c r="F183" s="70"/>
      <c r="G183" s="70"/>
      <c r="H183" s="70"/>
      <c r="I183" s="70"/>
      <c r="J183" s="70"/>
      <c r="K183" s="70"/>
    </row>
    <row r="184" spans="1:11" x14ac:dyDescent="0.25">
      <c r="A184" s="70"/>
      <c r="B184" s="70"/>
      <c r="C184" s="70"/>
      <c r="D184" s="70"/>
      <c r="E184" s="70"/>
      <c r="F184" s="70"/>
      <c r="G184" s="70"/>
      <c r="H184" s="70"/>
      <c r="I184" s="70"/>
      <c r="J184" s="70"/>
      <c r="K184" s="70"/>
    </row>
    <row r="185" spans="1:11" x14ac:dyDescent="0.25">
      <c r="A185" s="70"/>
      <c r="B185" s="70"/>
      <c r="C185" s="70"/>
      <c r="D185" s="70"/>
      <c r="E185" s="70"/>
      <c r="F185" s="70"/>
      <c r="G185" s="70"/>
      <c r="H185" s="70"/>
      <c r="I185" s="70"/>
      <c r="J185" s="70"/>
      <c r="K185" s="70"/>
    </row>
    <row r="186" spans="1:11" x14ac:dyDescent="0.25">
      <c r="A186" s="70"/>
      <c r="B186" s="70"/>
      <c r="C186" s="70"/>
      <c r="D186" s="70"/>
      <c r="E186" s="70"/>
      <c r="F186" s="70"/>
      <c r="G186" s="70"/>
      <c r="H186" s="70"/>
      <c r="I186" s="70"/>
      <c r="J186" s="70"/>
      <c r="K186" s="70"/>
    </row>
    <row r="187" spans="1:11" x14ac:dyDescent="0.25">
      <c r="A187" s="70"/>
      <c r="B187" s="70"/>
      <c r="C187" s="70"/>
      <c r="D187" s="70"/>
      <c r="E187" s="70"/>
      <c r="F187" s="70"/>
      <c r="G187" s="70"/>
      <c r="H187" s="70"/>
      <c r="I187" s="70"/>
      <c r="J187" s="70"/>
      <c r="K187" s="70"/>
    </row>
    <row r="188" spans="1:11" x14ac:dyDescent="0.25">
      <c r="A188" s="70"/>
      <c r="B188" s="70"/>
      <c r="C188" s="70"/>
      <c r="D188" s="70"/>
      <c r="E188" s="70"/>
      <c r="F188" s="70"/>
      <c r="G188" s="70"/>
      <c r="H188" s="70"/>
      <c r="I188" s="70"/>
      <c r="J188" s="70"/>
      <c r="K188" s="70"/>
    </row>
    <row r="189" spans="1:11" x14ac:dyDescent="0.25">
      <c r="A189" s="70"/>
      <c r="B189" s="70"/>
      <c r="C189" s="70"/>
      <c r="D189" s="70"/>
      <c r="E189" s="70"/>
      <c r="F189" s="70"/>
      <c r="G189" s="70"/>
      <c r="H189" s="70"/>
      <c r="I189" s="70"/>
      <c r="J189" s="70"/>
      <c r="K189" s="70"/>
    </row>
    <row r="190" spans="1:11" x14ac:dyDescent="0.25">
      <c r="A190" s="70"/>
      <c r="B190" s="70"/>
      <c r="C190" s="70"/>
      <c r="D190" s="70"/>
      <c r="E190" s="70"/>
      <c r="F190" s="70"/>
      <c r="G190" s="70"/>
      <c r="H190" s="70"/>
      <c r="I190" s="70"/>
      <c r="J190" s="70"/>
      <c r="K190" s="70"/>
    </row>
    <row r="191" spans="1:11" x14ac:dyDescent="0.25">
      <c r="A191" s="70"/>
      <c r="B191" s="70"/>
      <c r="C191" s="70"/>
      <c r="D191" s="70"/>
      <c r="E191" s="70"/>
      <c r="F191" s="70"/>
      <c r="G191" s="70"/>
      <c r="H191" s="70"/>
      <c r="I191" s="70"/>
      <c r="J191" s="70"/>
      <c r="K191" s="70"/>
    </row>
    <row r="192" spans="1:11" x14ac:dyDescent="0.25">
      <c r="A192" s="70"/>
      <c r="B192" s="70"/>
      <c r="C192" s="70"/>
      <c r="D192" s="70"/>
      <c r="E192" s="70"/>
      <c r="F192" s="70"/>
      <c r="G192" s="70"/>
      <c r="H192" s="70"/>
      <c r="I192" s="70"/>
      <c r="J192" s="70"/>
      <c r="K192" s="70"/>
    </row>
    <row r="193" spans="1:11" x14ac:dyDescent="0.25">
      <c r="A193" s="70"/>
      <c r="B193" s="70"/>
      <c r="C193" s="70"/>
      <c r="D193" s="70"/>
      <c r="E193" s="70"/>
      <c r="F193" s="70"/>
      <c r="G193" s="70"/>
      <c r="H193" s="70"/>
      <c r="I193" s="70"/>
      <c r="J193" s="70"/>
      <c r="K193" s="70"/>
    </row>
    <row r="194" spans="1:11" x14ac:dyDescent="0.25">
      <c r="A194" s="70"/>
      <c r="B194" s="70"/>
      <c r="C194" s="70"/>
      <c r="D194" s="70"/>
      <c r="E194" s="70"/>
      <c r="F194" s="70"/>
      <c r="G194" s="70"/>
      <c r="H194" s="70"/>
      <c r="I194" s="70"/>
      <c r="J194" s="70"/>
      <c r="K194" s="70"/>
    </row>
    <row r="195" spans="1:11" x14ac:dyDescent="0.25">
      <c r="A195" s="70"/>
      <c r="B195" s="70"/>
      <c r="C195" s="70"/>
      <c r="D195" s="70"/>
      <c r="E195" s="70"/>
      <c r="F195" s="70"/>
      <c r="G195" s="70"/>
      <c r="H195" s="70"/>
      <c r="I195" s="70"/>
      <c r="J195" s="70"/>
      <c r="K195" s="70"/>
    </row>
    <row r="196" spans="1:11" x14ac:dyDescent="0.25">
      <c r="A196" s="70"/>
      <c r="B196" s="70"/>
      <c r="C196" s="70"/>
      <c r="D196" s="70"/>
      <c r="E196" s="70"/>
      <c r="F196" s="70"/>
      <c r="G196" s="70"/>
      <c r="H196" s="70"/>
      <c r="I196" s="70"/>
      <c r="J196" s="70"/>
      <c r="K196" s="70"/>
    </row>
    <row r="197" spans="1:11" x14ac:dyDescent="0.25">
      <c r="A197" s="70"/>
      <c r="B197" s="70"/>
      <c r="C197" s="70"/>
      <c r="D197" s="70"/>
      <c r="E197" s="70"/>
      <c r="F197" s="70"/>
      <c r="G197" s="70"/>
      <c r="H197" s="70"/>
      <c r="I197" s="70"/>
      <c r="J197" s="70"/>
      <c r="K197" s="70"/>
    </row>
    <row r="198" spans="1:11" x14ac:dyDescent="0.25">
      <c r="A198" s="70"/>
      <c r="B198" s="70"/>
      <c r="C198" s="70"/>
      <c r="D198" s="70"/>
      <c r="E198" s="70"/>
      <c r="F198" s="70"/>
      <c r="G198" s="70"/>
      <c r="H198" s="70"/>
      <c r="I198" s="70"/>
      <c r="J198" s="70"/>
      <c r="K198" s="70"/>
    </row>
    <row r="199" spans="1:11" x14ac:dyDescent="0.25">
      <c r="A199" s="70"/>
      <c r="B199" s="70"/>
      <c r="C199" s="70"/>
      <c r="D199" s="70"/>
      <c r="E199" s="70"/>
      <c r="F199" s="70"/>
      <c r="G199" s="70"/>
      <c r="H199" s="70"/>
      <c r="I199" s="70"/>
      <c r="J199" s="70"/>
      <c r="K199" s="70"/>
    </row>
    <row r="200" spans="1:11" x14ac:dyDescent="0.25">
      <c r="A200" s="70"/>
      <c r="B200" s="70"/>
      <c r="C200" s="70"/>
      <c r="D200" s="70"/>
      <c r="E200" s="70"/>
      <c r="F200" s="70"/>
      <c r="G200" s="70"/>
      <c r="H200" s="70"/>
      <c r="I200" s="70"/>
      <c r="J200" s="70"/>
      <c r="K200" s="70"/>
    </row>
    <row r="201" spans="1:11" x14ac:dyDescent="0.25">
      <c r="A201" s="70"/>
      <c r="B201" s="70"/>
      <c r="C201" s="70"/>
      <c r="D201" s="70"/>
      <c r="E201" s="70"/>
      <c r="F201" s="70"/>
      <c r="G201" s="70"/>
      <c r="H201" s="70"/>
      <c r="I201" s="70"/>
      <c r="J201" s="70"/>
      <c r="K201" s="70"/>
    </row>
    <row r="202" spans="1:11" x14ac:dyDescent="0.25">
      <c r="A202" s="70"/>
      <c r="B202" s="70"/>
      <c r="C202" s="70"/>
      <c r="D202" s="70"/>
      <c r="E202" s="70"/>
      <c r="F202" s="70"/>
      <c r="G202" s="70"/>
      <c r="H202" s="70"/>
      <c r="I202" s="70"/>
      <c r="J202" s="70"/>
      <c r="K202" s="70"/>
    </row>
    <row r="203" spans="1:11" x14ac:dyDescent="0.25">
      <c r="A203" s="70"/>
      <c r="B203" s="70"/>
      <c r="C203" s="70"/>
      <c r="D203" s="70"/>
      <c r="E203" s="70"/>
      <c r="F203" s="70"/>
      <c r="G203" s="70"/>
      <c r="H203" s="70"/>
      <c r="I203" s="70"/>
      <c r="J203" s="70"/>
      <c r="K203" s="70"/>
    </row>
    <row r="204" spans="1:11" x14ac:dyDescent="0.25">
      <c r="A204" s="70"/>
      <c r="B204" s="70"/>
      <c r="C204" s="70"/>
      <c r="D204" s="70"/>
      <c r="E204" s="70"/>
      <c r="F204" s="70"/>
      <c r="G204" s="70"/>
      <c r="H204" s="70"/>
      <c r="I204" s="70"/>
      <c r="J204" s="70"/>
      <c r="K204" s="70"/>
    </row>
    <row r="205" spans="1:11" x14ac:dyDescent="0.25">
      <c r="A205" s="70"/>
      <c r="B205" s="70"/>
      <c r="C205" s="70"/>
      <c r="D205" s="70"/>
      <c r="E205" s="70"/>
      <c r="F205" s="70"/>
      <c r="G205" s="70"/>
      <c r="H205" s="70"/>
      <c r="I205" s="70"/>
      <c r="J205" s="70"/>
      <c r="K205" s="70"/>
    </row>
    <row r="206" spans="1:11" x14ac:dyDescent="0.25">
      <c r="A206" s="70"/>
      <c r="B206" s="70"/>
      <c r="C206" s="70"/>
      <c r="D206" s="70"/>
      <c r="E206" s="70"/>
      <c r="F206" s="70"/>
      <c r="G206" s="70"/>
      <c r="H206" s="70"/>
      <c r="I206" s="70"/>
      <c r="J206" s="70"/>
      <c r="K206" s="70"/>
    </row>
    <row r="207" spans="1:11" x14ac:dyDescent="0.25">
      <c r="A207" s="70"/>
      <c r="B207" s="70"/>
      <c r="C207" s="70"/>
      <c r="D207" s="70"/>
      <c r="E207" s="70"/>
      <c r="F207" s="70"/>
      <c r="G207" s="70"/>
      <c r="H207" s="70"/>
      <c r="I207" s="70"/>
      <c r="J207" s="70"/>
      <c r="K207" s="70"/>
    </row>
    <row r="208" spans="1:11" x14ac:dyDescent="0.25">
      <c r="A208" s="70"/>
      <c r="B208" s="70"/>
      <c r="C208" s="70"/>
      <c r="D208" s="70"/>
      <c r="E208" s="70"/>
      <c r="F208" s="70"/>
      <c r="G208" s="70"/>
      <c r="H208" s="70"/>
      <c r="I208" s="70"/>
      <c r="J208" s="70"/>
      <c r="K208" s="70"/>
    </row>
    <row r="209" spans="1:11" x14ac:dyDescent="0.25">
      <c r="A209" s="70"/>
      <c r="B209" s="70"/>
      <c r="C209" s="70"/>
      <c r="D209" s="70"/>
      <c r="E209" s="70"/>
      <c r="F209" s="70"/>
      <c r="G209" s="70"/>
      <c r="H209" s="70"/>
      <c r="I209" s="70"/>
      <c r="J209" s="70"/>
      <c r="K209" s="70"/>
    </row>
    <row r="210" spans="1:11" x14ac:dyDescent="0.25">
      <c r="A210" s="70"/>
      <c r="B210" s="70"/>
      <c r="C210" s="70"/>
      <c r="D210" s="70"/>
      <c r="E210" s="70"/>
      <c r="F210" s="70"/>
      <c r="G210" s="70"/>
      <c r="H210" s="70"/>
      <c r="I210" s="70"/>
      <c r="J210" s="70"/>
      <c r="K210" s="70"/>
    </row>
    <row r="211" spans="1:11" x14ac:dyDescent="0.25">
      <c r="A211" s="70"/>
      <c r="B211" s="70"/>
      <c r="C211" s="70"/>
      <c r="D211" s="70"/>
      <c r="E211" s="70"/>
      <c r="F211" s="70"/>
      <c r="G211" s="70"/>
      <c r="H211" s="70"/>
      <c r="I211" s="70"/>
      <c r="J211" s="70"/>
      <c r="K211" s="70"/>
    </row>
    <row r="212" spans="1:11" x14ac:dyDescent="0.25">
      <c r="A212" s="70"/>
      <c r="B212" s="70"/>
      <c r="C212" s="70"/>
      <c r="D212" s="70"/>
      <c r="E212" s="70"/>
      <c r="F212" s="70"/>
      <c r="G212" s="70"/>
      <c r="H212" s="70"/>
      <c r="I212" s="70"/>
      <c r="J212" s="70"/>
      <c r="K212" s="70"/>
    </row>
    <row r="213" spans="1:11" x14ac:dyDescent="0.25">
      <c r="A213" s="70"/>
      <c r="B213" s="70"/>
      <c r="C213" s="70"/>
      <c r="D213" s="70"/>
      <c r="E213" s="70"/>
      <c r="F213" s="70"/>
      <c r="G213" s="70"/>
      <c r="H213" s="70"/>
      <c r="I213" s="70"/>
      <c r="J213" s="70"/>
      <c r="K213" s="70"/>
    </row>
    <row r="214" spans="1:11" x14ac:dyDescent="0.25">
      <c r="A214" s="70"/>
      <c r="B214" s="70"/>
      <c r="C214" s="70"/>
      <c r="D214" s="70"/>
      <c r="E214" s="70"/>
      <c r="F214" s="70"/>
      <c r="G214" s="70"/>
      <c r="H214" s="70"/>
      <c r="I214" s="70"/>
      <c r="J214" s="70"/>
      <c r="K214" s="70"/>
    </row>
    <row r="215" spans="1:11" x14ac:dyDescent="0.25">
      <c r="A215" s="70"/>
      <c r="B215" s="70"/>
      <c r="C215" s="70"/>
      <c r="D215" s="70"/>
      <c r="E215" s="70"/>
      <c r="F215" s="70"/>
      <c r="G215" s="70"/>
      <c r="H215" s="70"/>
      <c r="I215" s="70"/>
      <c r="J215" s="70"/>
      <c r="K215" s="70"/>
    </row>
    <row r="216" spans="1:11" x14ac:dyDescent="0.25">
      <c r="A216" s="70"/>
      <c r="B216" s="70"/>
      <c r="C216" s="70"/>
      <c r="D216" s="70"/>
      <c r="E216" s="70"/>
      <c r="F216" s="70"/>
      <c r="G216" s="70"/>
      <c r="H216" s="70"/>
      <c r="I216" s="70"/>
      <c r="J216" s="70"/>
      <c r="K216" s="70"/>
    </row>
    <row r="217" spans="1:11" x14ac:dyDescent="0.25">
      <c r="A217" s="70"/>
      <c r="B217" s="70"/>
      <c r="C217" s="70"/>
      <c r="D217" s="70"/>
      <c r="E217" s="70"/>
      <c r="F217" s="70"/>
      <c r="G217" s="70"/>
      <c r="H217" s="70"/>
      <c r="I217" s="70"/>
      <c r="J217" s="70"/>
      <c r="K217" s="70"/>
    </row>
    <row r="218" spans="1:11" x14ac:dyDescent="0.25">
      <c r="A218" s="70"/>
      <c r="B218" s="70"/>
      <c r="C218" s="70"/>
      <c r="D218" s="70"/>
      <c r="E218" s="70"/>
      <c r="F218" s="70"/>
      <c r="G218" s="70"/>
      <c r="H218" s="70"/>
      <c r="I218" s="70"/>
      <c r="J218" s="70"/>
      <c r="K218" s="70"/>
    </row>
    <row r="219" spans="1:11" x14ac:dyDescent="0.25">
      <c r="A219" s="70"/>
      <c r="B219" s="70"/>
      <c r="C219" s="70"/>
      <c r="D219" s="70"/>
      <c r="E219" s="70"/>
      <c r="F219" s="70"/>
      <c r="G219" s="70"/>
      <c r="H219" s="70"/>
      <c r="I219" s="70"/>
      <c r="J219" s="70"/>
      <c r="K219" s="70"/>
    </row>
    <row r="220" spans="1:11" x14ac:dyDescent="0.25">
      <c r="A220" s="70"/>
      <c r="B220" s="70"/>
      <c r="C220" s="70"/>
      <c r="D220" s="70"/>
      <c r="E220" s="70"/>
      <c r="F220" s="70"/>
      <c r="G220" s="70"/>
      <c r="H220" s="70"/>
      <c r="I220" s="70"/>
      <c r="J220" s="70"/>
      <c r="K220" s="70"/>
    </row>
    <row r="221" spans="1:11" x14ac:dyDescent="0.25">
      <c r="A221" s="70"/>
      <c r="B221" s="70"/>
      <c r="C221" s="70"/>
      <c r="D221" s="70"/>
      <c r="E221" s="70"/>
      <c r="F221" s="70"/>
      <c r="G221" s="70"/>
      <c r="H221" s="70"/>
      <c r="I221" s="70"/>
      <c r="J221" s="70"/>
      <c r="K221" s="70"/>
    </row>
    <row r="222" spans="1:11" x14ac:dyDescent="0.25">
      <c r="A222" s="70"/>
      <c r="B222" s="70"/>
      <c r="C222" s="70"/>
      <c r="D222" s="70"/>
      <c r="E222" s="70"/>
      <c r="F222" s="70"/>
      <c r="G222" s="70"/>
      <c r="H222" s="70"/>
      <c r="I222" s="70"/>
      <c r="J222" s="70"/>
      <c r="K222" s="70"/>
    </row>
    <row r="223" spans="1:11" x14ac:dyDescent="0.25">
      <c r="A223" s="70"/>
      <c r="B223" s="70"/>
      <c r="C223" s="70"/>
      <c r="D223" s="70"/>
      <c r="E223" s="70"/>
      <c r="F223" s="70"/>
      <c r="G223" s="70"/>
      <c r="H223" s="70"/>
      <c r="I223" s="70"/>
      <c r="J223" s="70"/>
      <c r="K223" s="70"/>
    </row>
    <row r="224" spans="1:11" x14ac:dyDescent="0.25">
      <c r="A224" s="70"/>
      <c r="B224" s="70"/>
      <c r="C224" s="70"/>
      <c r="D224" s="70"/>
      <c r="E224" s="70"/>
      <c r="F224" s="70"/>
      <c r="G224" s="70"/>
      <c r="H224" s="70"/>
      <c r="I224" s="70"/>
      <c r="J224" s="70"/>
      <c r="K224" s="70"/>
    </row>
    <row r="225" spans="1:11" x14ac:dyDescent="0.25">
      <c r="A225" s="70"/>
      <c r="B225" s="70"/>
      <c r="C225" s="70"/>
      <c r="D225" s="70"/>
      <c r="E225" s="70"/>
      <c r="F225" s="70"/>
      <c r="G225" s="70"/>
      <c r="H225" s="70"/>
      <c r="I225" s="70"/>
      <c r="J225" s="70"/>
      <c r="K225" s="70"/>
    </row>
    <row r="226" spans="1:11" x14ac:dyDescent="0.25">
      <c r="A226" s="70"/>
      <c r="B226" s="70"/>
      <c r="C226" s="70"/>
      <c r="D226" s="70"/>
      <c r="E226" s="70"/>
      <c r="F226" s="70"/>
      <c r="G226" s="70"/>
      <c r="H226" s="70"/>
      <c r="I226" s="70"/>
      <c r="J226" s="70"/>
      <c r="K226" s="70"/>
    </row>
    <row r="227" spans="1:11" x14ac:dyDescent="0.25">
      <c r="A227" s="70"/>
      <c r="B227" s="70"/>
      <c r="C227" s="70"/>
      <c r="D227" s="70"/>
      <c r="E227" s="70"/>
      <c r="F227" s="70"/>
      <c r="G227" s="70"/>
      <c r="H227" s="70"/>
      <c r="I227" s="70"/>
      <c r="J227" s="70"/>
      <c r="K227" s="70"/>
    </row>
    <row r="228" spans="1:11" x14ac:dyDescent="0.25">
      <c r="A228" s="70"/>
      <c r="B228" s="70"/>
      <c r="C228" s="70"/>
      <c r="D228" s="70"/>
      <c r="E228" s="70"/>
      <c r="F228" s="70"/>
      <c r="G228" s="70"/>
      <c r="H228" s="70"/>
      <c r="I228" s="70"/>
      <c r="J228" s="70"/>
      <c r="K228" s="70"/>
    </row>
    <row r="229" spans="1:11" x14ac:dyDescent="0.25">
      <c r="A229" s="70"/>
      <c r="B229" s="70"/>
      <c r="C229" s="70"/>
      <c r="D229" s="70"/>
      <c r="E229" s="70"/>
      <c r="F229" s="70"/>
      <c r="G229" s="70"/>
      <c r="H229" s="70"/>
      <c r="I229" s="70"/>
      <c r="J229" s="70"/>
      <c r="K229" s="70"/>
    </row>
    <row r="230" spans="1:11" x14ac:dyDescent="0.25">
      <c r="A230" s="70"/>
      <c r="B230" s="70"/>
      <c r="C230" s="70"/>
      <c r="D230" s="70"/>
      <c r="E230" s="70"/>
      <c r="F230" s="70"/>
      <c r="G230" s="70"/>
      <c r="H230" s="70"/>
      <c r="I230" s="70"/>
      <c r="J230" s="70"/>
      <c r="K230" s="70"/>
    </row>
    <row r="231" spans="1:11" x14ac:dyDescent="0.25">
      <c r="A231" s="70"/>
      <c r="B231" s="70"/>
      <c r="C231" s="70"/>
      <c r="D231" s="70"/>
      <c r="E231" s="70"/>
      <c r="F231" s="70"/>
      <c r="G231" s="70"/>
      <c r="H231" s="70"/>
      <c r="I231" s="70"/>
      <c r="J231" s="70"/>
      <c r="K231" s="70"/>
    </row>
    <row r="232" spans="1:11" x14ac:dyDescent="0.25">
      <c r="A232" s="70"/>
      <c r="B232" s="70"/>
      <c r="C232" s="70"/>
      <c r="D232" s="70"/>
      <c r="E232" s="70"/>
      <c r="F232" s="70"/>
      <c r="G232" s="70"/>
      <c r="H232" s="70"/>
      <c r="I232" s="70"/>
      <c r="J232" s="70"/>
      <c r="K232" s="70"/>
    </row>
    <row r="233" spans="1:11" x14ac:dyDescent="0.25">
      <c r="A233" s="70"/>
      <c r="B233" s="70"/>
      <c r="C233" s="70"/>
      <c r="D233" s="70"/>
      <c r="E233" s="70"/>
      <c r="F233" s="70"/>
      <c r="G233" s="70"/>
      <c r="H233" s="70"/>
      <c r="I233" s="70"/>
      <c r="J233" s="70"/>
      <c r="K233" s="70"/>
    </row>
    <row r="234" spans="1:11" x14ac:dyDescent="0.25">
      <c r="A234" s="70"/>
      <c r="B234" s="70"/>
      <c r="C234" s="70"/>
      <c r="D234" s="70"/>
      <c r="E234" s="70"/>
      <c r="F234" s="70"/>
      <c r="G234" s="70"/>
      <c r="H234" s="70"/>
      <c r="I234" s="70"/>
      <c r="J234" s="70"/>
      <c r="K234" s="70"/>
    </row>
    <row r="235" spans="1:11" x14ac:dyDescent="0.25">
      <c r="A235" s="70"/>
      <c r="B235" s="70"/>
      <c r="C235" s="70"/>
      <c r="D235" s="70"/>
      <c r="E235" s="70"/>
      <c r="F235" s="70"/>
      <c r="G235" s="70"/>
      <c r="H235" s="70"/>
      <c r="I235" s="70"/>
      <c r="J235" s="70"/>
      <c r="K235" s="70"/>
    </row>
    <row r="236" spans="1:11" x14ac:dyDescent="0.25">
      <c r="A236" s="70"/>
      <c r="B236" s="70"/>
      <c r="C236" s="70"/>
      <c r="D236" s="70"/>
      <c r="E236" s="70"/>
      <c r="F236" s="70"/>
      <c r="G236" s="70"/>
      <c r="H236" s="70"/>
      <c r="I236" s="70"/>
      <c r="J236" s="70"/>
      <c r="K236" s="70"/>
    </row>
    <row r="237" spans="1:11" x14ac:dyDescent="0.25">
      <c r="A237" s="70"/>
      <c r="B237" s="70"/>
      <c r="C237" s="70"/>
      <c r="D237" s="70"/>
      <c r="E237" s="70"/>
      <c r="F237" s="70"/>
      <c r="G237" s="70"/>
      <c r="H237" s="70"/>
      <c r="I237" s="70"/>
      <c r="J237" s="70"/>
      <c r="K237" s="70"/>
    </row>
    <row r="238" spans="1:11" x14ac:dyDescent="0.25">
      <c r="A238" s="70"/>
      <c r="B238" s="70"/>
      <c r="C238" s="70"/>
      <c r="D238" s="70"/>
      <c r="E238" s="70"/>
      <c r="F238" s="70"/>
      <c r="G238" s="70"/>
      <c r="H238" s="70"/>
      <c r="I238" s="70"/>
      <c r="J238" s="70"/>
      <c r="K238" s="70"/>
    </row>
    <row r="239" spans="1:11" x14ac:dyDescent="0.25">
      <c r="A239" s="70"/>
      <c r="B239" s="70"/>
      <c r="C239" s="70"/>
      <c r="D239" s="70"/>
      <c r="E239" s="70"/>
      <c r="F239" s="70"/>
      <c r="G239" s="70"/>
      <c r="H239" s="70"/>
      <c r="I239" s="70"/>
      <c r="J239" s="70"/>
      <c r="K239" s="70"/>
    </row>
    <row r="240" spans="1:11" x14ac:dyDescent="0.25">
      <c r="A240" s="70"/>
      <c r="B240" s="70"/>
      <c r="C240" s="70"/>
      <c r="D240" s="70"/>
      <c r="E240" s="70"/>
      <c r="F240" s="70"/>
      <c r="G240" s="70"/>
      <c r="H240" s="70"/>
      <c r="I240" s="70"/>
      <c r="J240" s="70"/>
      <c r="K240" s="70"/>
    </row>
    <row r="241" spans="1:11" x14ac:dyDescent="0.25">
      <c r="A241" s="70"/>
      <c r="B241" s="70"/>
      <c r="C241" s="70"/>
      <c r="D241" s="70"/>
      <c r="E241" s="70"/>
      <c r="F241" s="70"/>
      <c r="G241" s="70"/>
      <c r="H241" s="70"/>
      <c r="I241" s="70"/>
      <c r="J241" s="70"/>
      <c r="K241" s="70"/>
    </row>
    <row r="242" spans="1:11" x14ac:dyDescent="0.25">
      <c r="A242" s="70"/>
      <c r="B242" s="70"/>
      <c r="C242" s="70"/>
      <c r="D242" s="70"/>
      <c r="E242" s="70"/>
      <c r="F242" s="70"/>
      <c r="G242" s="70"/>
      <c r="H242" s="70"/>
      <c r="I242" s="70"/>
      <c r="J242" s="70"/>
      <c r="K242" s="70"/>
    </row>
    <row r="243" spans="1:11" x14ac:dyDescent="0.25">
      <c r="A243" s="70"/>
      <c r="B243" s="70"/>
      <c r="C243" s="70"/>
      <c r="D243" s="70"/>
      <c r="E243" s="70"/>
      <c r="F243" s="70"/>
      <c r="G243" s="70"/>
      <c r="H243" s="70"/>
      <c r="I243" s="70"/>
      <c r="J243" s="70"/>
      <c r="K243" s="70"/>
    </row>
    <row r="244" spans="1:11" x14ac:dyDescent="0.25">
      <c r="A244" s="70"/>
      <c r="B244" s="70"/>
      <c r="C244" s="70"/>
      <c r="D244" s="70"/>
      <c r="E244" s="70"/>
      <c r="F244" s="70"/>
      <c r="G244" s="70"/>
      <c r="H244" s="70"/>
      <c r="I244" s="70"/>
      <c r="J244" s="70"/>
      <c r="K244" s="70"/>
    </row>
    <row r="245" spans="1:11" x14ac:dyDescent="0.25">
      <c r="A245" s="70"/>
      <c r="B245" s="70"/>
      <c r="C245" s="70"/>
      <c r="D245" s="70"/>
      <c r="E245" s="70"/>
      <c r="F245" s="70"/>
      <c r="G245" s="70"/>
      <c r="H245" s="70"/>
      <c r="I245" s="70"/>
      <c r="J245" s="70"/>
      <c r="K245" s="70"/>
    </row>
    <row r="246" spans="1:11" x14ac:dyDescent="0.25">
      <c r="A246" s="70"/>
      <c r="B246" s="70"/>
      <c r="C246" s="70"/>
      <c r="D246" s="70"/>
      <c r="E246" s="70"/>
      <c r="F246" s="70"/>
      <c r="G246" s="70"/>
      <c r="H246" s="70"/>
      <c r="I246" s="70"/>
      <c r="J246" s="70"/>
      <c r="K246" s="70"/>
    </row>
    <row r="247" spans="1:11" x14ac:dyDescent="0.25">
      <c r="A247" s="70"/>
      <c r="B247" s="70"/>
      <c r="C247" s="70"/>
      <c r="D247" s="70"/>
      <c r="E247" s="70"/>
      <c r="F247" s="70"/>
      <c r="G247" s="70"/>
      <c r="H247" s="70"/>
      <c r="I247" s="70"/>
      <c r="J247" s="70"/>
      <c r="K247" s="70"/>
    </row>
    <row r="248" spans="1:11" x14ac:dyDescent="0.25">
      <c r="A248" s="70"/>
      <c r="B248" s="70"/>
      <c r="C248" s="70"/>
      <c r="D248" s="70"/>
      <c r="E248" s="70"/>
      <c r="F248" s="70"/>
      <c r="G248" s="70"/>
      <c r="H248" s="70"/>
      <c r="I248" s="70"/>
      <c r="J248" s="70"/>
      <c r="K248" s="70"/>
    </row>
    <row r="249" spans="1:11" x14ac:dyDescent="0.25">
      <c r="A249" s="70"/>
      <c r="B249" s="70"/>
      <c r="C249" s="70"/>
      <c r="D249" s="70"/>
      <c r="E249" s="70"/>
      <c r="F249" s="70"/>
      <c r="G249" s="70"/>
      <c r="H249" s="70"/>
      <c r="I249" s="70"/>
      <c r="J249" s="70"/>
      <c r="K249" s="70"/>
    </row>
    <row r="250" spans="1:11" x14ac:dyDescent="0.25">
      <c r="A250" s="70"/>
      <c r="B250" s="70"/>
      <c r="C250" s="70"/>
      <c r="D250" s="70"/>
      <c r="E250" s="70"/>
      <c r="F250" s="70"/>
      <c r="G250" s="70"/>
      <c r="H250" s="70"/>
      <c r="I250" s="70"/>
      <c r="J250" s="70"/>
      <c r="K250" s="70"/>
    </row>
    <row r="251" spans="1:11" x14ac:dyDescent="0.25">
      <c r="A251" s="70"/>
      <c r="B251" s="70"/>
      <c r="C251" s="70"/>
      <c r="D251" s="70"/>
      <c r="E251" s="70"/>
      <c r="F251" s="70"/>
      <c r="G251" s="70"/>
      <c r="H251" s="70"/>
      <c r="I251" s="70"/>
      <c r="J251" s="70"/>
      <c r="K251" s="70"/>
    </row>
    <row r="252" spans="1:11" x14ac:dyDescent="0.25">
      <c r="A252" s="70"/>
      <c r="B252" s="70"/>
      <c r="C252" s="70"/>
      <c r="D252" s="70"/>
      <c r="E252" s="70"/>
      <c r="F252" s="70"/>
      <c r="G252" s="70"/>
      <c r="H252" s="70"/>
      <c r="I252" s="70"/>
      <c r="J252" s="70"/>
      <c r="K252" s="70"/>
    </row>
  </sheetData>
  <sheetProtection algorithmName="SHA-512" hashValue="Mf0oN6ca4aqfZX9fIV45W0xPWH3V1GQssGMlBok4UyxkljT8cWKgpWWbyWX2dx5MUl6+mtlZ88kA67oJbcv81Q==" saltValue="EdgajFJdK3+Ufuk9EzpZ3A==" spinCount="100000" sheet="1" objects="1" scenarios="1"/>
  <mergeCells count="10">
    <mergeCell ref="A1:I1"/>
    <mergeCell ref="C161:J161"/>
    <mergeCell ref="C162:J162"/>
    <mergeCell ref="C163:J163"/>
    <mergeCell ref="C164:J164"/>
    <mergeCell ref="A145:E145"/>
    <mergeCell ref="C157:J157"/>
    <mergeCell ref="C158:J158"/>
    <mergeCell ref="C159:J159"/>
    <mergeCell ref="C160:J160"/>
  </mergeCells>
  <pageMargins left="0.7" right="0.7" top="0.75" bottom="0.75" header="0.3" footer="0.3"/>
  <pageSetup scale="68" fitToHeight="0" orientation="portrait" r:id="rId1"/>
  <rowBreaks count="2" manualBreakCount="2">
    <brk id="88" max="16383" man="1"/>
    <brk id="12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354"/>
  <sheetViews>
    <sheetView zoomScaleNormal="100" workbookViewId="0">
      <selection activeCell="C6" sqref="C6"/>
    </sheetView>
  </sheetViews>
  <sheetFormatPr defaultRowHeight="15" x14ac:dyDescent="0.25"/>
  <cols>
    <col min="1" max="1" width="42" style="26" customWidth="1"/>
    <col min="2" max="2" width="3" style="26" customWidth="1"/>
    <col min="3" max="3" width="15.7109375" style="26" customWidth="1"/>
    <col min="4" max="4" width="3.5703125" style="26" customWidth="1"/>
    <col min="5" max="5" width="19.42578125" style="26" customWidth="1"/>
    <col min="6" max="6" width="3.28515625" style="26" customWidth="1"/>
    <col min="7" max="7" width="16.7109375" style="26" customWidth="1"/>
    <col min="8" max="16384" width="9.140625" style="26"/>
  </cols>
  <sheetData>
    <row r="1" spans="1:12" ht="24.95" customHeight="1" x14ac:dyDescent="0.3">
      <c r="A1" s="112" t="s">
        <v>10</v>
      </c>
      <c r="B1" s="112"/>
      <c r="C1" s="112"/>
      <c r="D1" s="112"/>
      <c r="E1" s="112"/>
      <c r="F1" s="112"/>
      <c r="G1" s="112"/>
      <c r="H1" s="112"/>
      <c r="I1" s="112"/>
      <c r="J1" s="25"/>
      <c r="K1" s="25"/>
      <c r="L1" s="25"/>
    </row>
    <row r="2" spans="1:12" s="27" customFormat="1" ht="24.95" customHeight="1" x14ac:dyDescent="0.35">
      <c r="A2" s="43"/>
      <c r="B2" s="43"/>
      <c r="C2" s="44" t="s">
        <v>11</v>
      </c>
      <c r="D2" s="45"/>
      <c r="E2" s="43"/>
      <c r="F2" s="43"/>
      <c r="G2" s="43"/>
      <c r="H2" s="43"/>
      <c r="I2" s="43"/>
      <c r="J2" s="25"/>
      <c r="K2" s="25"/>
      <c r="L2" s="25"/>
    </row>
    <row r="3" spans="1:12" s="27" customFormat="1" ht="24.95" customHeight="1" x14ac:dyDescent="0.35">
      <c r="A3" s="46" t="s">
        <v>750</v>
      </c>
      <c r="B3" s="47"/>
      <c r="C3" s="44" t="s">
        <v>181</v>
      </c>
      <c r="D3" s="48"/>
      <c r="E3" s="47"/>
      <c r="F3" s="47"/>
      <c r="G3" s="43"/>
      <c r="H3" s="43"/>
      <c r="I3" s="43"/>
      <c r="J3" s="25"/>
      <c r="K3" s="25"/>
      <c r="L3" s="25"/>
    </row>
    <row r="4" spans="1:12" ht="22.5" customHeight="1" x14ac:dyDescent="0.35">
      <c r="A4" s="43"/>
      <c r="B4" s="46"/>
      <c r="C4" s="49"/>
      <c r="D4" s="50"/>
      <c r="E4" s="51"/>
      <c r="F4" s="51"/>
      <c r="G4" s="43"/>
      <c r="H4" s="43"/>
      <c r="I4" s="43"/>
      <c r="J4" s="25"/>
      <c r="K4" s="25"/>
      <c r="L4" s="25"/>
    </row>
    <row r="5" spans="1:12" ht="18.75" x14ac:dyDescent="0.3">
      <c r="A5" s="52" t="s">
        <v>5</v>
      </c>
      <c r="B5" s="53"/>
      <c r="C5" s="53"/>
      <c r="D5" s="53"/>
      <c r="E5" s="53"/>
      <c r="F5" s="53"/>
      <c r="G5" s="53"/>
      <c r="H5" s="53"/>
      <c r="I5" s="53"/>
      <c r="J5" s="29"/>
      <c r="K5" s="29"/>
    </row>
    <row r="6" spans="1:12" ht="18.75" x14ac:dyDescent="0.3">
      <c r="A6" s="52" t="s">
        <v>6</v>
      </c>
      <c r="B6" s="52"/>
      <c r="C6" s="52"/>
      <c r="D6" s="52"/>
      <c r="E6" s="52"/>
      <c r="F6" s="52"/>
      <c r="G6" s="52"/>
      <c r="H6" s="52"/>
      <c r="I6" s="52"/>
      <c r="J6" s="28"/>
      <c r="K6" s="29"/>
    </row>
    <row r="7" spans="1:12" ht="18.75" x14ac:dyDescent="0.3">
      <c r="A7" s="52" t="s">
        <v>7</v>
      </c>
      <c r="B7" s="52"/>
      <c r="C7" s="52"/>
      <c r="D7" s="52"/>
      <c r="E7" s="52"/>
      <c r="F7" s="52"/>
      <c r="G7" s="52"/>
      <c r="H7" s="52"/>
      <c r="I7" s="52"/>
      <c r="J7" s="28"/>
      <c r="K7" s="29"/>
    </row>
    <row r="8" spans="1:12" ht="18.75" x14ac:dyDescent="0.3">
      <c r="A8" s="52" t="s">
        <v>8</v>
      </c>
      <c r="B8" s="52"/>
      <c r="C8" s="52"/>
      <c r="D8" s="52"/>
      <c r="E8" s="52"/>
      <c r="F8" s="52"/>
      <c r="G8" s="52"/>
      <c r="H8" s="52"/>
      <c r="I8" s="52"/>
      <c r="J8" s="28"/>
      <c r="K8" s="29"/>
    </row>
    <row r="9" spans="1:12" ht="18.75" x14ac:dyDescent="0.3">
      <c r="A9" s="52"/>
      <c r="B9" s="52"/>
      <c r="C9" s="52"/>
      <c r="D9" s="52"/>
      <c r="E9" s="52"/>
      <c r="F9" s="52"/>
      <c r="G9" s="52"/>
      <c r="H9" s="52"/>
      <c r="I9" s="52"/>
      <c r="J9" s="28"/>
      <c r="K9" s="29"/>
    </row>
    <row r="10" spans="1:12" ht="48" x14ac:dyDescent="0.3">
      <c r="A10" s="54" t="s">
        <v>12</v>
      </c>
      <c r="B10" s="52"/>
      <c r="C10" s="55" t="s">
        <v>687</v>
      </c>
      <c r="D10" s="52"/>
      <c r="E10" s="56" t="s">
        <v>688</v>
      </c>
      <c r="F10" s="52"/>
      <c r="G10" s="56" t="s">
        <v>115</v>
      </c>
      <c r="H10" s="52"/>
      <c r="I10" s="52"/>
      <c r="J10" s="28"/>
      <c r="K10" s="29"/>
    </row>
    <row r="11" spans="1:12" ht="18.75" x14ac:dyDescent="0.3">
      <c r="A11" s="100" t="s">
        <v>185</v>
      </c>
      <c r="B11" s="52"/>
      <c r="C11" s="58">
        <v>40</v>
      </c>
      <c r="D11" s="52"/>
      <c r="E11" s="6"/>
      <c r="F11" s="52"/>
      <c r="G11" s="101">
        <f>C11*E11</f>
        <v>0</v>
      </c>
      <c r="H11" s="52"/>
      <c r="I11" s="52"/>
      <c r="J11" s="28"/>
      <c r="K11" s="29"/>
    </row>
    <row r="12" spans="1:12" ht="18.75" x14ac:dyDescent="0.3">
      <c r="A12" s="100" t="s">
        <v>186</v>
      </c>
      <c r="B12" s="52"/>
      <c r="C12" s="58">
        <v>840</v>
      </c>
      <c r="D12" s="52"/>
      <c r="E12" s="6"/>
      <c r="F12" s="52"/>
      <c r="G12" s="101">
        <f t="shared" ref="G12:G75" si="0">C12*E12</f>
        <v>0</v>
      </c>
      <c r="H12" s="52"/>
      <c r="I12" s="52"/>
      <c r="J12" s="28"/>
      <c r="K12" s="29"/>
    </row>
    <row r="13" spans="1:12" ht="18.75" x14ac:dyDescent="0.3">
      <c r="A13" s="100" t="s">
        <v>187</v>
      </c>
      <c r="B13" s="52"/>
      <c r="C13" s="58">
        <v>12</v>
      </c>
      <c r="D13" s="52"/>
      <c r="E13" s="6"/>
      <c r="F13" s="52"/>
      <c r="G13" s="101">
        <f t="shared" si="0"/>
        <v>0</v>
      </c>
      <c r="H13" s="52"/>
      <c r="I13" s="52"/>
      <c r="J13" s="28"/>
      <c r="K13" s="29"/>
    </row>
    <row r="14" spans="1:12" ht="18.75" x14ac:dyDescent="0.3">
      <c r="A14" s="100" t="s">
        <v>188</v>
      </c>
      <c r="B14" s="52"/>
      <c r="C14" s="58">
        <v>966</v>
      </c>
      <c r="D14" s="52"/>
      <c r="E14" s="6"/>
      <c r="F14" s="52"/>
      <c r="G14" s="101">
        <f t="shared" si="0"/>
        <v>0</v>
      </c>
      <c r="H14" s="52"/>
      <c r="I14" s="52"/>
      <c r="J14" s="28"/>
      <c r="K14" s="29"/>
    </row>
    <row r="15" spans="1:12" ht="18.75" x14ac:dyDescent="0.3">
      <c r="A15" s="100" t="s">
        <v>18</v>
      </c>
      <c r="B15" s="52"/>
      <c r="C15" s="58">
        <v>9</v>
      </c>
      <c r="D15" s="52"/>
      <c r="E15" s="6"/>
      <c r="F15" s="52"/>
      <c r="G15" s="101">
        <f t="shared" si="0"/>
        <v>0</v>
      </c>
      <c r="H15" s="52"/>
      <c r="I15" s="52"/>
      <c r="J15" s="28"/>
      <c r="K15" s="29"/>
    </row>
    <row r="16" spans="1:12" ht="18.75" x14ac:dyDescent="0.3">
      <c r="A16" s="100" t="s">
        <v>189</v>
      </c>
      <c r="B16" s="52"/>
      <c r="C16" s="58">
        <v>42</v>
      </c>
      <c r="D16" s="52"/>
      <c r="E16" s="6"/>
      <c r="F16" s="52"/>
      <c r="G16" s="101">
        <f t="shared" si="0"/>
        <v>0</v>
      </c>
      <c r="H16" s="52"/>
      <c r="I16" s="52"/>
      <c r="J16" s="28"/>
      <c r="K16" s="29"/>
    </row>
    <row r="17" spans="1:11" ht="18.75" x14ac:dyDescent="0.3">
      <c r="A17" s="100" t="s">
        <v>190</v>
      </c>
      <c r="B17" s="52"/>
      <c r="C17" s="58">
        <v>34</v>
      </c>
      <c r="D17" s="52"/>
      <c r="E17" s="6"/>
      <c r="F17" s="52"/>
      <c r="G17" s="101">
        <f t="shared" si="0"/>
        <v>0</v>
      </c>
      <c r="H17" s="52"/>
      <c r="I17" s="52"/>
      <c r="J17" s="28"/>
      <c r="K17" s="29"/>
    </row>
    <row r="18" spans="1:11" ht="18.75" x14ac:dyDescent="0.3">
      <c r="A18" s="100" t="s">
        <v>191</v>
      </c>
      <c r="B18" s="52"/>
      <c r="C18" s="58">
        <v>30</v>
      </c>
      <c r="D18" s="52"/>
      <c r="E18" s="6"/>
      <c r="F18" s="52"/>
      <c r="G18" s="101">
        <f t="shared" si="0"/>
        <v>0</v>
      </c>
      <c r="H18" s="52"/>
      <c r="I18" s="52"/>
      <c r="J18" s="28"/>
      <c r="K18" s="29"/>
    </row>
    <row r="19" spans="1:11" ht="18.75" x14ac:dyDescent="0.3">
      <c r="A19" s="100" t="s">
        <v>194</v>
      </c>
      <c r="B19" s="52"/>
      <c r="C19" s="58">
        <f>30+26+22+25+31+28+26+29+30+31+31+31+12+27+14+31+31+17+30+28+30+31+31+31+31+23+30+31+31+30+22+31+28</f>
        <v>910</v>
      </c>
      <c r="D19" s="52"/>
      <c r="E19" s="6"/>
      <c r="F19" s="52"/>
      <c r="G19" s="101">
        <f t="shared" si="0"/>
        <v>0</v>
      </c>
      <c r="H19" s="52"/>
      <c r="I19" s="52"/>
      <c r="J19" s="28"/>
      <c r="K19" s="29"/>
    </row>
    <row r="20" spans="1:11" ht="18.75" x14ac:dyDescent="0.3">
      <c r="A20" s="100" t="s">
        <v>192</v>
      </c>
      <c r="B20" s="52"/>
      <c r="C20" s="58">
        <f>21+30+30+30+31+23+28+31+31+28+29+31+27+31</f>
        <v>401</v>
      </c>
      <c r="D20" s="52"/>
      <c r="E20" s="6"/>
      <c r="F20" s="52"/>
      <c r="G20" s="101">
        <f t="shared" si="0"/>
        <v>0</v>
      </c>
      <c r="H20" s="52"/>
      <c r="I20" s="52"/>
      <c r="J20" s="28"/>
      <c r="K20" s="29"/>
    </row>
    <row r="21" spans="1:11" ht="18.75" x14ac:dyDescent="0.3">
      <c r="A21" s="100" t="s">
        <v>193</v>
      </c>
      <c r="B21" s="52"/>
      <c r="C21" s="58">
        <f>8+30+23+23+29+31+31+31+30+31+30+31+30+29+31+31+31+31+30+30+31+31+10+30+30+23+28+28+30+30+30+30+30+31+31+31+31+31+31+31+31+25+29+30+31+31+31+30+30+31+31+25+30+30+31</f>
        <v>1595</v>
      </c>
      <c r="D21" s="52"/>
      <c r="E21" s="6"/>
      <c r="F21" s="52"/>
      <c r="G21" s="101">
        <f t="shared" si="0"/>
        <v>0</v>
      </c>
      <c r="H21" s="52"/>
      <c r="I21" s="52"/>
      <c r="J21" s="28"/>
      <c r="K21" s="29"/>
    </row>
    <row r="22" spans="1:11" ht="18.75" x14ac:dyDescent="0.3">
      <c r="A22" s="100" t="s">
        <v>26</v>
      </c>
      <c r="B22" s="52"/>
      <c r="C22" s="58">
        <f>28+29+29+30+30+30+30+30+31+31+31+31+32+32+33+13+18+28+28+23+30+30+30+32+30+31+30+28+28+29+29+31+29+29+31+32+30+30+31+30</f>
        <v>1167</v>
      </c>
      <c r="D22" s="52"/>
      <c r="E22" s="6"/>
      <c r="F22" s="52"/>
      <c r="G22" s="101">
        <f t="shared" si="0"/>
        <v>0</v>
      </c>
      <c r="H22" s="52"/>
      <c r="I22" s="52"/>
      <c r="J22" s="28"/>
      <c r="K22" s="29"/>
    </row>
    <row r="23" spans="1:11" ht="18.75" x14ac:dyDescent="0.3">
      <c r="A23" s="100" t="s">
        <v>195</v>
      </c>
      <c r="B23" s="52"/>
      <c r="C23" s="58">
        <v>6</v>
      </c>
      <c r="D23" s="52"/>
      <c r="E23" s="6"/>
      <c r="F23" s="52"/>
      <c r="G23" s="101">
        <f t="shared" si="0"/>
        <v>0</v>
      </c>
      <c r="H23" s="52"/>
      <c r="I23" s="52"/>
      <c r="J23" s="28"/>
      <c r="K23" s="29"/>
    </row>
    <row r="24" spans="1:11" ht="18.75" x14ac:dyDescent="0.3">
      <c r="A24" s="100" t="s">
        <v>196</v>
      </c>
      <c r="B24" s="52"/>
      <c r="C24" s="58">
        <v>4</v>
      </c>
      <c r="D24" s="52"/>
      <c r="E24" s="6"/>
      <c r="F24" s="52"/>
      <c r="G24" s="101">
        <f t="shared" si="0"/>
        <v>0</v>
      </c>
      <c r="H24" s="52"/>
      <c r="I24" s="52"/>
      <c r="J24" s="28"/>
      <c r="K24" s="29"/>
    </row>
    <row r="25" spans="1:11" ht="18.75" x14ac:dyDescent="0.3">
      <c r="A25" s="100" t="s">
        <v>197</v>
      </c>
      <c r="B25" s="52"/>
      <c r="C25" s="58">
        <v>18</v>
      </c>
      <c r="D25" s="52"/>
      <c r="E25" s="6"/>
      <c r="F25" s="52"/>
      <c r="G25" s="101">
        <f t="shared" si="0"/>
        <v>0</v>
      </c>
      <c r="H25" s="52"/>
      <c r="I25" s="52"/>
      <c r="J25" s="28"/>
      <c r="K25" s="29"/>
    </row>
    <row r="26" spans="1:11" ht="18.75" x14ac:dyDescent="0.3">
      <c r="A26" s="100" t="s">
        <v>198</v>
      </c>
      <c r="B26" s="52"/>
      <c r="C26" s="58">
        <v>6</v>
      </c>
      <c r="D26" s="52"/>
      <c r="E26" s="6"/>
      <c r="F26" s="52"/>
      <c r="G26" s="101">
        <f t="shared" si="0"/>
        <v>0</v>
      </c>
      <c r="H26" s="52"/>
      <c r="I26" s="52"/>
      <c r="J26" s="28"/>
      <c r="K26" s="29"/>
    </row>
    <row r="27" spans="1:11" ht="18.75" x14ac:dyDescent="0.3">
      <c r="A27" s="100" t="s">
        <v>199</v>
      </c>
      <c r="B27" s="52"/>
      <c r="C27" s="58">
        <f>47+51+57+63+62+59+60+60+60+62+60+60+60+60+60+62+76</f>
        <v>1019</v>
      </c>
      <c r="D27" s="52"/>
      <c r="E27" s="6"/>
      <c r="F27" s="52"/>
      <c r="G27" s="101">
        <f t="shared" si="0"/>
        <v>0</v>
      </c>
      <c r="H27" s="52"/>
      <c r="I27" s="52"/>
      <c r="J27" s="28"/>
      <c r="K27" s="29"/>
    </row>
    <row r="28" spans="1:11" ht="18.75" x14ac:dyDescent="0.3">
      <c r="A28" s="100" t="s">
        <v>200</v>
      </c>
      <c r="B28" s="52"/>
      <c r="C28" s="58">
        <f>50+57+62+58+60+60+60+60+60+60+62+62+62+62+62</f>
        <v>897</v>
      </c>
      <c r="D28" s="52"/>
      <c r="E28" s="6"/>
      <c r="F28" s="52"/>
      <c r="G28" s="101">
        <f t="shared" si="0"/>
        <v>0</v>
      </c>
      <c r="H28" s="52"/>
      <c r="I28" s="52"/>
      <c r="J28" s="28"/>
      <c r="K28" s="29"/>
    </row>
    <row r="29" spans="1:11" ht="18.75" x14ac:dyDescent="0.3">
      <c r="A29" s="100" t="s">
        <v>201</v>
      </c>
      <c r="B29" s="52"/>
      <c r="C29" s="58">
        <f>15+15+15+42</f>
        <v>87</v>
      </c>
      <c r="D29" s="52"/>
      <c r="E29" s="6"/>
      <c r="F29" s="52"/>
      <c r="G29" s="101">
        <f t="shared" si="0"/>
        <v>0</v>
      </c>
      <c r="H29" s="52"/>
      <c r="I29" s="52"/>
      <c r="J29" s="28"/>
      <c r="K29" s="29"/>
    </row>
    <row r="30" spans="1:11" ht="18.75" x14ac:dyDescent="0.3">
      <c r="A30" s="100" t="s">
        <v>121</v>
      </c>
      <c r="B30" s="52"/>
      <c r="C30" s="58">
        <f>28+17+27+29+30+30+31+33+22+25+24+27+28+27+30+28+22+30+29+30+31+31+31+32+31+33+35+35+28+29+30+29+31+31+31+32+31+31+33+33+35+39+40+47+51+52+56+56+59+59+61+61+62+62+63</f>
        <v>1978</v>
      </c>
      <c r="D30" s="52"/>
      <c r="E30" s="6"/>
      <c r="F30" s="52"/>
      <c r="G30" s="101">
        <f t="shared" si="0"/>
        <v>0</v>
      </c>
      <c r="H30" s="52"/>
      <c r="I30" s="52"/>
      <c r="J30" s="28"/>
      <c r="K30" s="29"/>
    </row>
    <row r="31" spans="1:11" ht="18.75" x14ac:dyDescent="0.3">
      <c r="A31" s="100" t="s">
        <v>122</v>
      </c>
      <c r="B31" s="52"/>
      <c r="C31" s="58">
        <f>1+13+19+22+23+59+25+63+29+27+30+30+30+30+29+23+31+29+32+31+31+44+47+33+36+35+52+38+28+28+28+29+29+30+30+30+30+58+31+31+31+31+31+59+60+32+61+63+34+46+68+49+56+59+60+61+43+60+58+62+62+85+59+44+62+60+61+64+62+92+63+63+93+68+71+51+84+120+60+60+60+60+60+61+90+62+62+62+63+87+92+89+93+93+93+87+90+90+88+90+90+114</f>
        <v>5458</v>
      </c>
      <c r="D31" s="52"/>
      <c r="E31" s="6"/>
      <c r="F31" s="52"/>
      <c r="G31" s="101">
        <f t="shared" si="0"/>
        <v>0</v>
      </c>
      <c r="H31" s="52"/>
      <c r="I31" s="52"/>
      <c r="J31" s="28"/>
      <c r="K31" s="29"/>
    </row>
    <row r="32" spans="1:11" ht="18.75" x14ac:dyDescent="0.3">
      <c r="A32" s="100" t="s">
        <v>202</v>
      </c>
      <c r="B32" s="52"/>
      <c r="C32" s="58">
        <f>37+60+62+63+48+50+58+60</f>
        <v>438</v>
      </c>
      <c r="D32" s="52"/>
      <c r="E32" s="6"/>
      <c r="F32" s="52"/>
      <c r="G32" s="101">
        <f t="shared" si="0"/>
        <v>0</v>
      </c>
      <c r="H32" s="52"/>
      <c r="I32" s="52"/>
      <c r="J32" s="28"/>
      <c r="K32" s="29"/>
    </row>
    <row r="33" spans="1:11" ht="18.75" x14ac:dyDescent="0.3">
      <c r="A33" s="100" t="s">
        <v>203</v>
      </c>
      <c r="B33" s="52"/>
      <c r="C33" s="58">
        <f>0.5+0.5+0.5</f>
        <v>1.5</v>
      </c>
      <c r="D33" s="52"/>
      <c r="E33" s="6"/>
      <c r="F33" s="52"/>
      <c r="G33" s="101">
        <f t="shared" si="0"/>
        <v>0</v>
      </c>
      <c r="H33" s="52"/>
      <c r="I33" s="52"/>
      <c r="J33" s="28"/>
      <c r="K33" s="29"/>
    </row>
    <row r="34" spans="1:11" ht="18.75" x14ac:dyDescent="0.3">
      <c r="A34" s="100" t="s">
        <v>204</v>
      </c>
      <c r="B34" s="52"/>
      <c r="C34" s="58">
        <f>24+1+5+19+50+60+62+45+56+58+58+60+60+60+60+60+60+60+62+62+62+62+64+63+63</f>
        <v>1296</v>
      </c>
      <c r="D34" s="52"/>
      <c r="E34" s="6"/>
      <c r="F34" s="52"/>
      <c r="G34" s="101">
        <f t="shared" si="0"/>
        <v>0</v>
      </c>
      <c r="H34" s="52"/>
      <c r="I34" s="52"/>
      <c r="J34" s="28"/>
      <c r="K34" s="29"/>
    </row>
    <row r="35" spans="1:11" ht="18.75" x14ac:dyDescent="0.3">
      <c r="A35" s="100" t="s">
        <v>33</v>
      </c>
      <c r="B35" s="52"/>
      <c r="C35" s="58">
        <f>1+2+3+7+28+36+45+65+67+76+83+90+90+84+92+92+92+86+88+88+92+92+93+93+90+89+95+112+116+89+117+114+90+90+121+93+115+125+118+117+120+123+115+116+126+119+122+124+119+120+120+119+147</f>
        <v>4866</v>
      </c>
      <c r="D35" s="52"/>
      <c r="E35" s="6"/>
      <c r="F35" s="52"/>
      <c r="G35" s="101">
        <f t="shared" si="0"/>
        <v>0</v>
      </c>
      <c r="H35" s="52"/>
      <c r="I35" s="52"/>
      <c r="J35" s="28"/>
      <c r="K35" s="29"/>
    </row>
    <row r="36" spans="1:11" ht="18.75" x14ac:dyDescent="0.3">
      <c r="A36" s="100" t="s">
        <v>205</v>
      </c>
      <c r="B36" s="52"/>
      <c r="C36" s="58">
        <v>30</v>
      </c>
      <c r="D36" s="52"/>
      <c r="E36" s="6"/>
      <c r="F36" s="52"/>
      <c r="G36" s="101">
        <f t="shared" si="0"/>
        <v>0</v>
      </c>
      <c r="H36" s="52"/>
      <c r="I36" s="52"/>
      <c r="J36" s="28"/>
      <c r="K36" s="29"/>
    </row>
    <row r="37" spans="1:11" ht="18.75" x14ac:dyDescent="0.3">
      <c r="A37" s="100" t="s">
        <v>206</v>
      </c>
      <c r="B37" s="52"/>
      <c r="C37" s="58">
        <v>24</v>
      </c>
      <c r="D37" s="52"/>
      <c r="E37" s="6"/>
      <c r="F37" s="52"/>
      <c r="G37" s="101">
        <f t="shared" si="0"/>
        <v>0</v>
      </c>
      <c r="H37" s="52"/>
      <c r="I37" s="52"/>
      <c r="J37" s="28"/>
      <c r="K37" s="29"/>
    </row>
    <row r="38" spans="1:11" ht="18.75" x14ac:dyDescent="0.3">
      <c r="A38" s="100" t="s">
        <v>207</v>
      </c>
      <c r="B38" s="52"/>
      <c r="C38" s="58">
        <v>300</v>
      </c>
      <c r="D38" s="52"/>
      <c r="E38" s="6"/>
      <c r="F38" s="52"/>
      <c r="G38" s="101">
        <f t="shared" si="0"/>
        <v>0</v>
      </c>
      <c r="H38" s="52"/>
      <c r="I38" s="52"/>
      <c r="J38" s="28"/>
      <c r="K38" s="29"/>
    </row>
    <row r="39" spans="1:11" ht="18.75" x14ac:dyDescent="0.3">
      <c r="A39" s="100" t="s">
        <v>208</v>
      </c>
      <c r="B39" s="52"/>
      <c r="C39" s="58">
        <f>28+28+20+28</f>
        <v>104</v>
      </c>
      <c r="D39" s="52"/>
      <c r="E39" s="6"/>
      <c r="F39" s="52"/>
      <c r="G39" s="101">
        <f t="shared" si="0"/>
        <v>0</v>
      </c>
      <c r="H39" s="52"/>
      <c r="I39" s="52"/>
      <c r="J39" s="28"/>
      <c r="K39" s="29"/>
    </row>
    <row r="40" spans="1:11" ht="18.75" x14ac:dyDescent="0.3">
      <c r="A40" s="100" t="s">
        <v>209</v>
      </c>
      <c r="B40" s="52"/>
      <c r="C40" s="58">
        <f>473+473+473</f>
        <v>1419</v>
      </c>
      <c r="D40" s="52"/>
      <c r="E40" s="6"/>
      <c r="F40" s="52"/>
      <c r="G40" s="101">
        <f t="shared" si="0"/>
        <v>0</v>
      </c>
      <c r="H40" s="52"/>
      <c r="I40" s="52"/>
      <c r="J40" s="28"/>
      <c r="K40" s="29"/>
    </row>
    <row r="41" spans="1:11" ht="18.75" x14ac:dyDescent="0.3">
      <c r="A41" s="100" t="s">
        <v>210</v>
      </c>
      <c r="B41" s="52"/>
      <c r="C41" s="58">
        <v>3.5</v>
      </c>
      <c r="D41" s="52"/>
      <c r="E41" s="6"/>
      <c r="F41" s="52"/>
      <c r="G41" s="101">
        <f t="shared" si="0"/>
        <v>0</v>
      </c>
      <c r="H41" s="52"/>
      <c r="I41" s="52"/>
      <c r="J41" s="28"/>
      <c r="K41" s="29"/>
    </row>
    <row r="42" spans="1:11" ht="18.75" x14ac:dyDescent="0.3">
      <c r="A42" s="100" t="s">
        <v>211</v>
      </c>
      <c r="B42" s="52"/>
      <c r="C42" s="58">
        <f>7.5+7.5+7.5+7.5+7.5+7.5+7.5+7.5+7.5+7.5+7.5</f>
        <v>82.5</v>
      </c>
      <c r="D42" s="52"/>
      <c r="E42" s="6"/>
      <c r="F42" s="52"/>
      <c r="G42" s="101">
        <f t="shared" si="0"/>
        <v>0</v>
      </c>
      <c r="H42" s="52"/>
      <c r="I42" s="52"/>
      <c r="J42" s="28"/>
      <c r="K42" s="29"/>
    </row>
    <row r="43" spans="1:11" ht="18.75" x14ac:dyDescent="0.3">
      <c r="A43" s="100" t="s">
        <v>212</v>
      </c>
      <c r="B43" s="52"/>
      <c r="C43" s="58">
        <v>10</v>
      </c>
      <c r="D43" s="52"/>
      <c r="E43" s="6"/>
      <c r="F43" s="52"/>
      <c r="G43" s="101">
        <f t="shared" si="0"/>
        <v>0</v>
      </c>
      <c r="H43" s="52"/>
      <c r="I43" s="52"/>
      <c r="J43" s="28"/>
      <c r="K43" s="29"/>
    </row>
    <row r="44" spans="1:11" ht="18.75" x14ac:dyDescent="0.3">
      <c r="A44" s="100" t="s">
        <v>213</v>
      </c>
      <c r="B44" s="52"/>
      <c r="C44" s="58">
        <f>28+28+28+28</f>
        <v>112</v>
      </c>
      <c r="D44" s="52"/>
      <c r="E44" s="7"/>
      <c r="F44" s="52"/>
      <c r="G44" s="101">
        <f t="shared" si="0"/>
        <v>0</v>
      </c>
      <c r="H44" s="52"/>
      <c r="I44" s="52"/>
      <c r="J44" s="28"/>
      <c r="K44" s="29"/>
    </row>
    <row r="45" spans="1:11" ht="18.75" x14ac:dyDescent="0.3">
      <c r="A45" s="100" t="s">
        <v>214</v>
      </c>
      <c r="B45" s="52"/>
      <c r="C45" s="58">
        <v>60</v>
      </c>
      <c r="D45" s="52"/>
      <c r="E45" s="6"/>
      <c r="F45" s="52"/>
      <c r="G45" s="101">
        <f t="shared" si="0"/>
        <v>0</v>
      </c>
      <c r="H45" s="52"/>
      <c r="I45" s="52"/>
      <c r="J45" s="28"/>
      <c r="K45" s="29"/>
    </row>
    <row r="46" spans="1:11" ht="18.75" x14ac:dyDescent="0.3">
      <c r="A46" s="100" t="s">
        <v>215</v>
      </c>
      <c r="B46" s="52"/>
      <c r="C46" s="58">
        <f>60+60+60+60+50+50+50+50+50+50+50+50+50+50+50+50+50+50+50+50+50+50+50+50+50+50+50+50+50+50+50+50+50+50+50+50+50+50+50+50+50+50+50+50+50+50+50+50+50</f>
        <v>2490</v>
      </c>
      <c r="D46" s="52"/>
      <c r="E46" s="6"/>
      <c r="F46" s="52"/>
      <c r="G46" s="101">
        <f t="shared" si="0"/>
        <v>0</v>
      </c>
      <c r="H46" s="52"/>
      <c r="I46" s="52"/>
      <c r="J46" s="28"/>
      <c r="K46" s="29"/>
    </row>
    <row r="47" spans="1:11" ht="18.75" x14ac:dyDescent="0.3">
      <c r="A47" s="100" t="s">
        <v>216</v>
      </c>
      <c r="B47" s="52"/>
      <c r="C47" s="58">
        <f>50+50+50+50+50</f>
        <v>250</v>
      </c>
      <c r="D47" s="52"/>
      <c r="E47" s="6"/>
      <c r="F47" s="52"/>
      <c r="G47" s="101">
        <f t="shared" si="0"/>
        <v>0</v>
      </c>
      <c r="H47" s="52"/>
      <c r="I47" s="52"/>
      <c r="J47" s="28"/>
      <c r="K47" s="29"/>
    </row>
    <row r="48" spans="1:11" ht="18.75" x14ac:dyDescent="0.3">
      <c r="A48" s="100" t="s">
        <v>217</v>
      </c>
      <c r="B48" s="52"/>
      <c r="C48" s="58">
        <f>30+30+30+30+30+30+30+30+30+30+30+30+30+30+30+30+30+30+30+30+30+30+30+30+30+30+30+30+30+30+30+30+30+30+30+30+30+30+30+30+30+30+30+30+30+30+30+30+30+30+30+30+30+30+30+30+30+30+30+30+30+30+30+30+30+30+30+30+30+30+30+30+30+30+30+30+30+30+30+30+30+30+30+30+30+1+2+2+30+30+30+30+1020+1020+30+30+30+30+30+30+30+30+30+30+30+30+31+60+30+30+30+30+30+30+30+30+30+30+30+30+28+30+30+30+30+30+30+30+1022+210</f>
        <v>6996</v>
      </c>
      <c r="D48" s="52"/>
      <c r="E48" s="6"/>
      <c r="F48" s="52"/>
      <c r="G48" s="101">
        <f t="shared" si="0"/>
        <v>0</v>
      </c>
      <c r="H48" s="52"/>
      <c r="I48" s="52"/>
      <c r="J48" s="28"/>
      <c r="K48" s="29"/>
    </row>
    <row r="49" spans="1:11" ht="18.75" x14ac:dyDescent="0.3">
      <c r="A49" s="100" t="s">
        <v>218</v>
      </c>
      <c r="B49" s="52"/>
      <c r="C49" s="58">
        <f>810+1020+1020+1020+1020+1020+540</f>
        <v>6450</v>
      </c>
      <c r="D49" s="52"/>
      <c r="E49" s="6"/>
      <c r="F49" s="52"/>
      <c r="G49" s="101">
        <f t="shared" si="0"/>
        <v>0</v>
      </c>
      <c r="H49" s="52"/>
      <c r="I49" s="52"/>
      <c r="J49" s="28"/>
      <c r="K49" s="29"/>
    </row>
    <row r="50" spans="1:11" ht="18.75" x14ac:dyDescent="0.3">
      <c r="A50" s="100" t="s">
        <v>219</v>
      </c>
      <c r="B50" s="52"/>
      <c r="C50" s="58">
        <f>24+25+27+30+31+32+3</f>
        <v>172</v>
      </c>
      <c r="D50" s="52"/>
      <c r="E50" s="6"/>
      <c r="F50" s="52"/>
      <c r="G50" s="101">
        <f t="shared" si="0"/>
        <v>0</v>
      </c>
      <c r="H50" s="52"/>
      <c r="I50" s="52"/>
      <c r="J50" s="28"/>
      <c r="K50" s="29"/>
    </row>
    <row r="51" spans="1:11" ht="18.75" x14ac:dyDescent="0.3">
      <c r="A51" s="100" t="s">
        <v>220</v>
      </c>
      <c r="B51" s="52"/>
      <c r="C51" s="58">
        <v>27</v>
      </c>
      <c r="D51" s="52"/>
      <c r="E51" s="6"/>
      <c r="F51" s="52"/>
      <c r="G51" s="101">
        <f t="shared" si="0"/>
        <v>0</v>
      </c>
      <c r="H51" s="52"/>
      <c r="I51" s="52"/>
      <c r="J51" s="28"/>
      <c r="K51" s="29"/>
    </row>
    <row r="52" spans="1:11" ht="18.75" x14ac:dyDescent="0.3">
      <c r="A52" s="100" t="s">
        <v>221</v>
      </c>
      <c r="B52" s="52"/>
      <c r="C52" s="58">
        <f>45+45+60</f>
        <v>150</v>
      </c>
      <c r="D52" s="52"/>
      <c r="E52" s="6"/>
      <c r="F52" s="52"/>
      <c r="G52" s="101">
        <f t="shared" si="0"/>
        <v>0</v>
      </c>
      <c r="H52" s="52"/>
      <c r="I52" s="52"/>
      <c r="J52" s="28"/>
      <c r="K52" s="29"/>
    </row>
    <row r="53" spans="1:11" ht="18.75" x14ac:dyDescent="0.3">
      <c r="A53" s="100" t="s">
        <v>222</v>
      </c>
      <c r="B53" s="52"/>
      <c r="C53" s="58">
        <v>45</v>
      </c>
      <c r="D53" s="52"/>
      <c r="E53" s="6"/>
      <c r="F53" s="52"/>
      <c r="G53" s="101">
        <f t="shared" si="0"/>
        <v>0</v>
      </c>
      <c r="H53" s="52"/>
      <c r="I53" s="52"/>
      <c r="J53" s="28"/>
      <c r="K53" s="29"/>
    </row>
    <row r="54" spans="1:11" ht="18.75" x14ac:dyDescent="0.3">
      <c r="A54" s="100" t="s">
        <v>223</v>
      </c>
      <c r="B54" s="52"/>
      <c r="C54" s="58">
        <f>56+56+56+56+56+56+56+58+60</f>
        <v>510</v>
      </c>
      <c r="D54" s="52"/>
      <c r="E54" s="6"/>
      <c r="F54" s="52"/>
      <c r="G54" s="101">
        <f t="shared" si="0"/>
        <v>0</v>
      </c>
      <c r="H54" s="52"/>
      <c r="I54" s="52"/>
      <c r="J54" s="28"/>
      <c r="K54" s="29"/>
    </row>
    <row r="55" spans="1:11" ht="18.75" x14ac:dyDescent="0.3">
      <c r="A55" s="100" t="s">
        <v>224</v>
      </c>
      <c r="B55" s="52"/>
      <c r="C55" s="58">
        <f>15+20+20+30+30+30+60+56+56+56+30+30+30+60+69+56+60+60+112+84+150+150+150+150</f>
        <v>1564</v>
      </c>
      <c r="D55" s="52"/>
      <c r="E55" s="6"/>
      <c r="F55" s="52"/>
      <c r="G55" s="101">
        <f t="shared" si="0"/>
        <v>0</v>
      </c>
      <c r="H55" s="52"/>
      <c r="I55" s="52"/>
      <c r="J55" s="28"/>
      <c r="K55" s="29"/>
    </row>
    <row r="56" spans="1:11" ht="18.75" x14ac:dyDescent="0.3">
      <c r="A56" s="100" t="s">
        <v>225</v>
      </c>
      <c r="B56" s="52"/>
      <c r="C56" s="58">
        <f>4+2</f>
        <v>6</v>
      </c>
      <c r="D56" s="52"/>
      <c r="E56" s="6"/>
      <c r="F56" s="52"/>
      <c r="G56" s="101">
        <f t="shared" si="0"/>
        <v>0</v>
      </c>
      <c r="H56" s="52"/>
      <c r="I56" s="52"/>
      <c r="J56" s="28"/>
      <c r="K56" s="29"/>
    </row>
    <row r="57" spans="1:11" ht="18.75" x14ac:dyDescent="0.3">
      <c r="A57" s="100" t="s">
        <v>226</v>
      </c>
      <c r="B57" s="52"/>
      <c r="C57" s="58">
        <f>8+237+346+360</f>
        <v>951</v>
      </c>
      <c r="D57" s="52"/>
      <c r="E57" s="6"/>
      <c r="F57" s="52"/>
      <c r="G57" s="101">
        <f t="shared" si="0"/>
        <v>0</v>
      </c>
      <c r="H57" s="52"/>
      <c r="I57" s="52"/>
      <c r="J57" s="28"/>
      <c r="K57" s="29"/>
    </row>
    <row r="58" spans="1:11" ht="18.75" x14ac:dyDescent="0.3">
      <c r="A58" s="100" t="s">
        <v>227</v>
      </c>
      <c r="B58" s="52"/>
      <c r="C58" s="58">
        <f>70+12.5</f>
        <v>82.5</v>
      </c>
      <c r="D58" s="52"/>
      <c r="E58" s="6"/>
      <c r="F58" s="52"/>
      <c r="G58" s="101">
        <f t="shared" si="0"/>
        <v>0</v>
      </c>
      <c r="H58" s="52"/>
      <c r="I58" s="52"/>
      <c r="J58" s="28"/>
      <c r="K58" s="29"/>
    </row>
    <row r="59" spans="1:11" ht="18.75" x14ac:dyDescent="0.3">
      <c r="A59" s="100" t="s">
        <v>228</v>
      </c>
      <c r="B59" s="52"/>
      <c r="C59" s="58">
        <f>1+27+28+28+29+30+30+30+30+31+31+31+31+29+28+43+31+31+31+31+30+31+29+29+30+30+30+31+52+52+30+29+56+58+59+31+32+32+32+63+51+93+76+91+90+81+83+101+91</f>
        <v>2104</v>
      </c>
      <c r="D59" s="52"/>
      <c r="E59" s="6"/>
      <c r="F59" s="52"/>
      <c r="G59" s="101">
        <f t="shared" si="0"/>
        <v>0</v>
      </c>
      <c r="H59" s="52"/>
      <c r="I59" s="52"/>
      <c r="J59" s="28"/>
      <c r="K59" s="29"/>
    </row>
    <row r="60" spans="1:11" ht="18.75" x14ac:dyDescent="0.3">
      <c r="A60" s="100" t="s">
        <v>136</v>
      </c>
      <c r="B60" s="52"/>
      <c r="C60" s="58">
        <v>60</v>
      </c>
      <c r="D60" s="52"/>
      <c r="E60" s="7"/>
      <c r="F60" s="52"/>
      <c r="G60" s="101">
        <f t="shared" si="0"/>
        <v>0</v>
      </c>
      <c r="H60" s="52"/>
      <c r="I60" s="52"/>
      <c r="J60" s="28"/>
      <c r="K60" s="29"/>
    </row>
    <row r="61" spans="1:11" ht="18.75" x14ac:dyDescent="0.3">
      <c r="A61" s="100" t="s">
        <v>134</v>
      </c>
      <c r="B61" s="52"/>
      <c r="C61" s="58">
        <v>40</v>
      </c>
      <c r="D61" s="52"/>
      <c r="E61" s="6"/>
      <c r="F61" s="52"/>
      <c r="G61" s="101">
        <f t="shared" si="0"/>
        <v>0</v>
      </c>
      <c r="H61" s="52"/>
      <c r="I61" s="52"/>
      <c r="J61" s="28"/>
      <c r="K61" s="29"/>
    </row>
    <row r="62" spans="1:11" ht="18.75" x14ac:dyDescent="0.3">
      <c r="A62" s="100" t="s">
        <v>229</v>
      </c>
      <c r="B62" s="52"/>
      <c r="C62" s="58">
        <v>10</v>
      </c>
      <c r="D62" s="52"/>
      <c r="E62" s="6"/>
      <c r="F62" s="52"/>
      <c r="G62" s="101">
        <f t="shared" si="0"/>
        <v>0</v>
      </c>
      <c r="H62" s="52"/>
      <c r="I62" s="52"/>
      <c r="J62" s="28"/>
      <c r="K62" s="29"/>
    </row>
    <row r="63" spans="1:11" ht="18.75" x14ac:dyDescent="0.3">
      <c r="A63" s="100" t="s">
        <v>230</v>
      </c>
      <c r="B63" s="52"/>
      <c r="C63" s="58">
        <v>100</v>
      </c>
      <c r="D63" s="52"/>
      <c r="E63" s="6"/>
      <c r="F63" s="52"/>
      <c r="G63" s="101">
        <f t="shared" si="0"/>
        <v>0</v>
      </c>
      <c r="H63" s="52"/>
      <c r="I63" s="52"/>
      <c r="J63" s="28"/>
      <c r="K63" s="29"/>
    </row>
    <row r="64" spans="1:11" ht="18.75" x14ac:dyDescent="0.3">
      <c r="A64" s="100" t="s">
        <v>231</v>
      </c>
      <c r="B64" s="52"/>
      <c r="C64" s="58">
        <f>31</f>
        <v>31</v>
      </c>
      <c r="D64" s="52"/>
      <c r="E64" s="6"/>
      <c r="F64" s="52"/>
      <c r="G64" s="101">
        <f t="shared" si="0"/>
        <v>0</v>
      </c>
      <c r="H64" s="52"/>
      <c r="I64" s="52"/>
      <c r="J64" s="28"/>
      <c r="K64" s="29"/>
    </row>
    <row r="65" spans="1:11" ht="18.75" x14ac:dyDescent="0.3">
      <c r="A65" s="100" t="s">
        <v>232</v>
      </c>
      <c r="B65" s="52"/>
      <c r="C65" s="58">
        <f>1+9+10+24+24+25+28+29+32+32+33+5+45+45+46+47+6+54+55+56+57+58+59+59+59+60+60+60+60+61+61+62+62+62+62+62+62+62+63+64+27+31+30+30+30+34+31+31+33+33+36+35+38+45+44+47+49+47+52+55+55+59+60+60+61+61+60+62+62+62+59+62+65+56+56+62+62+63</f>
        <v>3666</v>
      </c>
      <c r="D65" s="52"/>
      <c r="E65" s="6"/>
      <c r="F65" s="52"/>
      <c r="G65" s="101">
        <f t="shared" si="0"/>
        <v>0</v>
      </c>
      <c r="H65" s="52"/>
      <c r="I65" s="52"/>
      <c r="J65" s="28"/>
      <c r="K65" s="29"/>
    </row>
    <row r="66" spans="1:11" ht="18.75" x14ac:dyDescent="0.3">
      <c r="A66" s="100" t="s">
        <v>233</v>
      </c>
      <c r="B66" s="52"/>
      <c r="C66" s="58">
        <f>1+2+1+22+18+30+32+16+27+34+44+45+45+45+39+42+47+47+45+56+52+62+63+55+66+61+59+59+55+55+56+56+56+59+62+62+60+60+62+62+65+61+64+60+60+59+59+68+62+61+61+61+61+61+69+62+62+62+62+62+62+62+74+84+64+75+65+93+81+94+88+89+90+92+90+85+89+70+90+91+85+96+90+86+92+73+94+90+90+90+75+77+80+82+82+84+85+85+86+87+89+90+91+92+92+93+93+93+93+94+94+97+98+99+117+118+119+124+124+126+28+56</f>
        <v>8519</v>
      </c>
      <c r="D66" s="52"/>
      <c r="E66" s="6"/>
      <c r="F66" s="52"/>
      <c r="G66" s="101">
        <f t="shared" si="0"/>
        <v>0</v>
      </c>
      <c r="H66" s="52"/>
      <c r="I66" s="52"/>
      <c r="J66" s="28"/>
      <c r="K66" s="29"/>
    </row>
    <row r="67" spans="1:11" ht="18.75" x14ac:dyDescent="0.3">
      <c r="A67" s="100" t="s">
        <v>234</v>
      </c>
      <c r="B67" s="52"/>
      <c r="C67" s="58">
        <f>8+7+10+14+11+22+26+31+15+16+31+27+30+31+31+21+33+29+31+31+28+30+31+31+31+29+30+30+30+31+31+32</f>
        <v>819</v>
      </c>
      <c r="D67" s="52"/>
      <c r="E67" s="6"/>
      <c r="F67" s="52"/>
      <c r="G67" s="101">
        <f t="shared" si="0"/>
        <v>0</v>
      </c>
      <c r="H67" s="52"/>
      <c r="I67" s="52"/>
      <c r="J67" s="28"/>
      <c r="K67" s="29"/>
    </row>
    <row r="68" spans="1:11" ht="18.75" x14ac:dyDescent="0.3">
      <c r="A68" s="100" t="s">
        <v>235</v>
      </c>
      <c r="B68" s="52"/>
      <c r="C68" s="58">
        <f>6+10+30+31+31+9+31+24+29+30+31+31+29+31+31</f>
        <v>384</v>
      </c>
      <c r="D68" s="52"/>
      <c r="E68" s="6"/>
      <c r="F68" s="52"/>
      <c r="G68" s="101">
        <f t="shared" si="0"/>
        <v>0</v>
      </c>
      <c r="H68" s="52"/>
      <c r="I68" s="52"/>
      <c r="J68" s="28"/>
      <c r="K68" s="29"/>
    </row>
    <row r="69" spans="1:11" ht="18.75" x14ac:dyDescent="0.3">
      <c r="A69" s="100" t="s">
        <v>236</v>
      </c>
      <c r="B69" s="52"/>
      <c r="C69" s="58">
        <f>11+26</f>
        <v>37</v>
      </c>
      <c r="D69" s="52"/>
      <c r="E69" s="6"/>
      <c r="F69" s="52"/>
      <c r="G69" s="101">
        <f t="shared" si="0"/>
        <v>0</v>
      </c>
      <c r="H69" s="52"/>
      <c r="I69" s="52"/>
      <c r="J69" s="28"/>
      <c r="K69" s="29"/>
    </row>
    <row r="70" spans="1:11" ht="18.75" x14ac:dyDescent="0.3">
      <c r="A70" s="100" t="s">
        <v>237</v>
      </c>
      <c r="B70" s="52"/>
      <c r="C70" s="58">
        <f>29+30+31+28+31+30+30+30+32+30+30+31+38+31+29+30+31+30+31+29+31+31+14</f>
        <v>687</v>
      </c>
      <c r="D70" s="52"/>
      <c r="E70" s="6"/>
      <c r="F70" s="52"/>
      <c r="G70" s="101">
        <f t="shared" si="0"/>
        <v>0</v>
      </c>
      <c r="H70" s="52"/>
      <c r="I70" s="52"/>
      <c r="J70" s="28"/>
      <c r="K70" s="29"/>
    </row>
    <row r="71" spans="1:11" ht="18.75" x14ac:dyDescent="0.3">
      <c r="A71" s="100" t="s">
        <v>238</v>
      </c>
      <c r="B71" s="52"/>
      <c r="C71" s="58">
        <f>30+30+31+31</f>
        <v>122</v>
      </c>
      <c r="D71" s="52"/>
      <c r="E71" s="6"/>
      <c r="F71" s="52"/>
      <c r="G71" s="101">
        <f t="shared" si="0"/>
        <v>0</v>
      </c>
      <c r="H71" s="52"/>
      <c r="I71" s="52"/>
      <c r="J71" s="28"/>
      <c r="K71" s="29"/>
    </row>
    <row r="72" spans="1:11" ht="18.75" x14ac:dyDescent="0.3">
      <c r="A72" s="100" t="s">
        <v>239</v>
      </c>
      <c r="B72" s="52"/>
      <c r="C72" s="58">
        <f>30+30+30+30</f>
        <v>120</v>
      </c>
      <c r="D72" s="52"/>
      <c r="E72" s="6"/>
      <c r="F72" s="52"/>
      <c r="G72" s="101">
        <f t="shared" si="0"/>
        <v>0</v>
      </c>
      <c r="H72" s="52"/>
      <c r="I72" s="52"/>
      <c r="J72" s="28"/>
      <c r="K72" s="29"/>
    </row>
    <row r="73" spans="1:11" ht="18.75" x14ac:dyDescent="0.3">
      <c r="A73" s="100" t="s">
        <v>240</v>
      </c>
      <c r="B73" s="52"/>
      <c r="C73" s="58">
        <f>23</f>
        <v>23</v>
      </c>
      <c r="D73" s="52"/>
      <c r="E73" s="6"/>
      <c r="F73" s="52"/>
      <c r="G73" s="101">
        <f t="shared" si="0"/>
        <v>0</v>
      </c>
      <c r="H73" s="52"/>
      <c r="I73" s="52"/>
      <c r="J73" s="28"/>
      <c r="K73" s="29"/>
    </row>
    <row r="74" spans="1:11" ht="18.75" x14ac:dyDescent="0.3">
      <c r="A74" s="100" t="s">
        <v>241</v>
      </c>
      <c r="B74" s="52"/>
      <c r="C74" s="58">
        <f>29+31+31+3+28+29+31+30+30+30+31+31+31+31+31+32+29+31+30+39</f>
        <v>588</v>
      </c>
      <c r="D74" s="52"/>
      <c r="E74" s="6"/>
      <c r="F74" s="52"/>
      <c r="G74" s="101">
        <f t="shared" si="0"/>
        <v>0</v>
      </c>
      <c r="H74" s="52"/>
      <c r="I74" s="52"/>
      <c r="J74" s="28"/>
      <c r="K74" s="29"/>
    </row>
    <row r="75" spans="1:11" ht="18.75" x14ac:dyDescent="0.3">
      <c r="A75" s="100" t="s">
        <v>242</v>
      </c>
      <c r="B75" s="52"/>
      <c r="C75" s="58">
        <v>1</v>
      </c>
      <c r="D75" s="52"/>
      <c r="E75" s="6"/>
      <c r="F75" s="52"/>
      <c r="G75" s="101">
        <f t="shared" si="0"/>
        <v>0</v>
      </c>
      <c r="H75" s="52"/>
      <c r="I75" s="52"/>
      <c r="J75" s="28"/>
      <c r="K75" s="29"/>
    </row>
    <row r="76" spans="1:11" ht="18.75" x14ac:dyDescent="0.3">
      <c r="A76" s="100" t="s">
        <v>243</v>
      </c>
      <c r="B76" s="52"/>
      <c r="C76" s="58">
        <v>8</v>
      </c>
      <c r="D76" s="52"/>
      <c r="E76" s="6"/>
      <c r="F76" s="52"/>
      <c r="G76" s="101">
        <f t="shared" ref="G76:G139" si="1">C76*E76</f>
        <v>0</v>
      </c>
      <c r="H76" s="52"/>
      <c r="I76" s="52"/>
      <c r="J76" s="28"/>
      <c r="K76" s="29"/>
    </row>
    <row r="77" spans="1:11" ht="18.75" x14ac:dyDescent="0.3">
      <c r="A77" s="100" t="s">
        <v>244</v>
      </c>
      <c r="B77" s="52"/>
      <c r="C77" s="58">
        <v>46.6</v>
      </c>
      <c r="D77" s="52"/>
      <c r="E77" s="6"/>
      <c r="F77" s="52"/>
      <c r="G77" s="101">
        <f t="shared" si="1"/>
        <v>0</v>
      </c>
      <c r="H77" s="52"/>
      <c r="I77" s="52"/>
      <c r="J77" s="28"/>
      <c r="K77" s="29"/>
    </row>
    <row r="78" spans="1:11" ht="18.75" x14ac:dyDescent="0.3">
      <c r="A78" s="100" t="s">
        <v>245</v>
      </c>
      <c r="B78" s="52"/>
      <c r="C78" s="58">
        <v>7</v>
      </c>
      <c r="D78" s="52"/>
      <c r="E78" s="6"/>
      <c r="F78" s="52"/>
      <c r="G78" s="101">
        <f t="shared" si="1"/>
        <v>0</v>
      </c>
      <c r="H78" s="52"/>
      <c r="I78" s="52"/>
      <c r="J78" s="28"/>
      <c r="K78" s="29"/>
    </row>
    <row r="79" spans="1:11" ht="18.75" x14ac:dyDescent="0.3">
      <c r="A79" s="100" t="s">
        <v>246</v>
      </c>
      <c r="B79" s="52"/>
      <c r="C79" s="58">
        <v>4</v>
      </c>
      <c r="D79" s="52"/>
      <c r="E79" s="6"/>
      <c r="F79" s="52"/>
      <c r="G79" s="101">
        <f t="shared" si="1"/>
        <v>0</v>
      </c>
      <c r="H79" s="52"/>
      <c r="I79" s="52"/>
      <c r="J79" s="28"/>
      <c r="K79" s="29"/>
    </row>
    <row r="80" spans="1:11" ht="18.75" x14ac:dyDescent="0.3">
      <c r="A80" s="100" t="s">
        <v>247</v>
      </c>
      <c r="B80" s="52"/>
      <c r="C80" s="58">
        <f>60+60+60+720</f>
        <v>900</v>
      </c>
      <c r="D80" s="52"/>
      <c r="E80" s="6"/>
      <c r="F80" s="52"/>
      <c r="G80" s="101">
        <f t="shared" si="1"/>
        <v>0</v>
      </c>
      <c r="H80" s="52"/>
      <c r="I80" s="52"/>
      <c r="J80" s="28"/>
      <c r="K80" s="29"/>
    </row>
    <row r="81" spans="1:11" ht="18.75" x14ac:dyDescent="0.3">
      <c r="A81" s="100" t="s">
        <v>248</v>
      </c>
      <c r="B81" s="52"/>
      <c r="C81" s="58">
        <v>300</v>
      </c>
      <c r="D81" s="52"/>
      <c r="E81" s="6"/>
      <c r="F81" s="52"/>
      <c r="G81" s="101">
        <f t="shared" si="1"/>
        <v>0</v>
      </c>
      <c r="H81" s="52"/>
      <c r="I81" s="52"/>
      <c r="J81" s="28"/>
      <c r="K81" s="29"/>
    </row>
    <row r="82" spans="1:11" ht="18.75" x14ac:dyDescent="0.3">
      <c r="A82" s="100" t="s">
        <v>249</v>
      </c>
      <c r="B82" s="52"/>
      <c r="C82" s="58">
        <f>19+19+21+24+28+30+31</f>
        <v>172</v>
      </c>
      <c r="D82" s="52"/>
      <c r="E82" s="6"/>
      <c r="F82" s="52"/>
      <c r="G82" s="101">
        <f t="shared" si="1"/>
        <v>0</v>
      </c>
      <c r="H82" s="52"/>
      <c r="I82" s="52"/>
      <c r="J82" s="28"/>
      <c r="K82" s="29"/>
    </row>
    <row r="83" spans="1:11" ht="18.75" x14ac:dyDescent="0.3">
      <c r="A83" s="100" t="s">
        <v>250</v>
      </c>
      <c r="B83" s="52"/>
      <c r="C83" s="58">
        <f>1+8+18+61</f>
        <v>88</v>
      </c>
      <c r="D83" s="52"/>
      <c r="E83" s="6"/>
      <c r="F83" s="52"/>
      <c r="G83" s="101">
        <f t="shared" si="1"/>
        <v>0</v>
      </c>
      <c r="H83" s="52"/>
      <c r="I83" s="52"/>
      <c r="J83" s="28"/>
      <c r="K83" s="29"/>
    </row>
    <row r="84" spans="1:11" ht="18.75" x14ac:dyDescent="0.3">
      <c r="A84" s="100" t="s">
        <v>251</v>
      </c>
      <c r="B84" s="52"/>
      <c r="C84" s="58">
        <f>1+6+6+10+14+16+10+23+27+28+29+32+35+19+20+58+31+24+96+27+29+30+79+31+32+32+92+90+47+92+52+40+57+61+82+80+62+66+87+90+66+89+90+90+90+91+91+93+94+95+95</f>
        <v>2727</v>
      </c>
      <c r="D84" s="52"/>
      <c r="E84" s="6"/>
      <c r="F84" s="52"/>
      <c r="G84" s="101">
        <f t="shared" si="1"/>
        <v>0</v>
      </c>
      <c r="H84" s="52"/>
      <c r="I84" s="52"/>
      <c r="J84" s="28"/>
      <c r="K84" s="29"/>
    </row>
    <row r="85" spans="1:11" ht="18.75" x14ac:dyDescent="0.3">
      <c r="A85" s="100" t="s">
        <v>252</v>
      </c>
      <c r="B85" s="52"/>
      <c r="C85" s="58">
        <f>150+450+450+450+450+450+450+450+450+480+480+480+480+480+480+480+480+480+480+480+480+480+480+480+480+480+480+480+480+480+480+480+480+480+480+480+480+480+480+480+480+480+480+480+480</f>
        <v>21030</v>
      </c>
      <c r="D85" s="52"/>
      <c r="E85" s="6"/>
      <c r="F85" s="52"/>
      <c r="G85" s="101">
        <f t="shared" si="1"/>
        <v>0</v>
      </c>
      <c r="H85" s="52"/>
      <c r="I85" s="52"/>
      <c r="J85" s="28"/>
      <c r="K85" s="29"/>
    </row>
    <row r="86" spans="1:11" ht="18.75" x14ac:dyDescent="0.3">
      <c r="A86" s="100" t="s">
        <v>253</v>
      </c>
      <c r="B86" s="52"/>
      <c r="C86" s="58">
        <f>120+340+340+10+10+10+10+10+10+10+10+10+20+20+20+20+20</f>
        <v>990</v>
      </c>
      <c r="D86" s="52"/>
      <c r="E86" s="6"/>
      <c r="F86" s="52"/>
      <c r="G86" s="101">
        <f t="shared" si="1"/>
        <v>0</v>
      </c>
      <c r="H86" s="52"/>
      <c r="I86" s="52"/>
      <c r="J86" s="28"/>
      <c r="K86" s="29"/>
    </row>
    <row r="87" spans="1:11" ht="18.75" x14ac:dyDescent="0.3">
      <c r="A87" s="100" t="s">
        <v>254</v>
      </c>
      <c r="B87" s="52"/>
      <c r="C87" s="58">
        <v>20</v>
      </c>
      <c r="D87" s="52"/>
      <c r="E87" s="6"/>
      <c r="F87" s="52"/>
      <c r="G87" s="101">
        <f t="shared" si="1"/>
        <v>0</v>
      </c>
      <c r="H87" s="52"/>
      <c r="I87" s="52"/>
      <c r="J87" s="28"/>
      <c r="K87" s="29"/>
    </row>
    <row r="88" spans="1:11" ht="18.75" x14ac:dyDescent="0.3">
      <c r="A88" s="100" t="s">
        <v>255</v>
      </c>
      <c r="B88" s="52"/>
      <c r="C88" s="58">
        <f>1+4+5+5+10+16+25+28+13+30+31+29+31+31+18+42+31+72+32+26+26+96+76+40+92+79+81+47+92+93+54+56+45+64+55+55+61+61+66+83+66+87+90+93+99+88+89+90+90+90+91+93+93+104+95+111+115+110+120+124+141+145+154+148+150+150+152+153+153+154+155+155+156+145+217+248+249+250+244</f>
        <v>7059</v>
      </c>
      <c r="D88" s="52"/>
      <c r="E88" s="6"/>
      <c r="F88" s="52"/>
      <c r="G88" s="101">
        <f t="shared" si="1"/>
        <v>0</v>
      </c>
      <c r="H88" s="52"/>
      <c r="I88" s="52"/>
      <c r="J88" s="28"/>
      <c r="K88" s="29"/>
    </row>
    <row r="89" spans="1:11" ht="18.75" x14ac:dyDescent="0.3">
      <c r="A89" s="100" t="s">
        <v>256</v>
      </c>
      <c r="B89" s="52"/>
      <c r="C89" s="58">
        <v>25</v>
      </c>
      <c r="D89" s="52"/>
      <c r="E89" s="6"/>
      <c r="F89" s="52"/>
      <c r="G89" s="101">
        <f t="shared" si="1"/>
        <v>0</v>
      </c>
      <c r="H89" s="52"/>
      <c r="I89" s="52"/>
      <c r="J89" s="28"/>
      <c r="K89" s="29"/>
    </row>
    <row r="90" spans="1:11" ht="18.75" x14ac:dyDescent="0.3">
      <c r="A90" s="100" t="s">
        <v>257</v>
      </c>
      <c r="B90" s="52"/>
      <c r="C90" s="58">
        <f>16+16+144</f>
        <v>176</v>
      </c>
      <c r="D90" s="52"/>
      <c r="E90" s="6"/>
      <c r="F90" s="52"/>
      <c r="G90" s="101">
        <f t="shared" si="1"/>
        <v>0</v>
      </c>
      <c r="H90" s="52"/>
      <c r="I90" s="52"/>
      <c r="J90" s="28"/>
      <c r="K90" s="29"/>
    </row>
    <row r="91" spans="1:11" ht="18.75" x14ac:dyDescent="0.3">
      <c r="A91" s="100" t="s">
        <v>47</v>
      </c>
      <c r="B91" s="52"/>
      <c r="C91" s="58">
        <f>32+32+31+30+30+30+31+31+27+31+30+31+29+32+32+28+31+30+31+32+28+31+30+20+28+28+28+29+29+29+29+29+30+30+30+30+31+31+31+31+31+31+31+31+31+31+31+31+31+31+31+31+32+25+29+29+30+31+31+31</f>
        <v>1803</v>
      </c>
      <c r="D91" s="52"/>
      <c r="E91" s="6"/>
      <c r="F91" s="52"/>
      <c r="G91" s="101">
        <f t="shared" si="1"/>
        <v>0</v>
      </c>
      <c r="H91" s="52"/>
      <c r="I91" s="52"/>
      <c r="J91" s="28"/>
      <c r="K91" s="29"/>
    </row>
    <row r="92" spans="1:11" ht="18.75" x14ac:dyDescent="0.3">
      <c r="A92" s="100" t="s">
        <v>258</v>
      </c>
      <c r="B92" s="52"/>
      <c r="C92" s="58">
        <f>74+30+32+56+58+58+59+60+60+61+61+61+61+62+62+62+62+62+63+63+64+64+69+24+59+59+62+72</f>
        <v>1640</v>
      </c>
      <c r="D92" s="52"/>
      <c r="E92" s="6"/>
      <c r="F92" s="52"/>
      <c r="G92" s="101">
        <f t="shared" si="1"/>
        <v>0</v>
      </c>
      <c r="H92" s="52"/>
      <c r="I92" s="52"/>
      <c r="J92" s="28"/>
      <c r="K92" s="29"/>
    </row>
    <row r="93" spans="1:11" ht="18.75" x14ac:dyDescent="0.3">
      <c r="A93" s="100" t="s">
        <v>259</v>
      </c>
      <c r="B93" s="52"/>
      <c r="C93" s="58">
        <f>5+12</f>
        <v>17</v>
      </c>
      <c r="D93" s="52"/>
      <c r="E93" s="6"/>
      <c r="F93" s="52"/>
      <c r="G93" s="101">
        <f t="shared" si="1"/>
        <v>0</v>
      </c>
      <c r="H93" s="52"/>
      <c r="I93" s="52"/>
      <c r="J93" s="28"/>
      <c r="K93" s="29"/>
    </row>
    <row r="94" spans="1:11" ht="18.75" customHeight="1" x14ac:dyDescent="0.3">
      <c r="A94" s="57" t="s">
        <v>182</v>
      </c>
      <c r="B94" s="52"/>
      <c r="C94" s="58">
        <v>9</v>
      </c>
      <c r="D94" s="52"/>
      <c r="E94" s="8"/>
      <c r="F94" s="52"/>
      <c r="G94" s="101">
        <f t="shared" si="1"/>
        <v>0</v>
      </c>
      <c r="H94" s="52"/>
      <c r="I94" s="52"/>
      <c r="J94" s="28"/>
      <c r="K94" s="29"/>
    </row>
    <row r="95" spans="1:11" ht="18.75" customHeight="1" x14ac:dyDescent="0.3">
      <c r="A95" s="57" t="s">
        <v>260</v>
      </c>
      <c r="B95" s="52"/>
      <c r="C95" s="58">
        <f>84+22+47+59+91+92</f>
        <v>395</v>
      </c>
      <c r="D95" s="52"/>
      <c r="E95" s="8"/>
      <c r="F95" s="52"/>
      <c r="G95" s="101">
        <f t="shared" si="1"/>
        <v>0</v>
      </c>
      <c r="H95" s="52"/>
      <c r="I95" s="52"/>
      <c r="J95" s="28"/>
      <c r="K95" s="29"/>
    </row>
    <row r="96" spans="1:11" ht="18.75" customHeight="1" x14ac:dyDescent="0.3">
      <c r="A96" s="57" t="s">
        <v>261</v>
      </c>
      <c r="B96" s="52"/>
      <c r="C96" s="58">
        <f>2+38+45+48+41+47+56+56+47+54+61+57+60+60+59+60+62+63+61+60+58+57+58+62+62+61+64+61+61+62+62+65+87+89+94+90+90+114</f>
        <v>2334</v>
      </c>
      <c r="D96" s="52"/>
      <c r="E96" s="8"/>
      <c r="F96" s="52"/>
      <c r="G96" s="101">
        <f t="shared" si="1"/>
        <v>0</v>
      </c>
      <c r="H96" s="52"/>
      <c r="I96" s="52"/>
      <c r="J96" s="28"/>
      <c r="K96" s="29"/>
    </row>
    <row r="97" spans="1:11" ht="18.75" customHeight="1" x14ac:dyDescent="0.3">
      <c r="A97" s="57" t="s">
        <v>262</v>
      </c>
      <c r="B97" s="52"/>
      <c r="C97" s="58">
        <f>94+89+92+93+111+112+113+117+120+120+121+121+123+124+124+124</f>
        <v>1798</v>
      </c>
      <c r="D97" s="52"/>
      <c r="E97" s="8"/>
      <c r="F97" s="52"/>
      <c r="G97" s="101">
        <f t="shared" si="1"/>
        <v>0</v>
      </c>
      <c r="H97" s="52"/>
      <c r="I97" s="52"/>
      <c r="J97" s="28"/>
      <c r="K97" s="29"/>
    </row>
    <row r="98" spans="1:11" ht="18.75" customHeight="1" x14ac:dyDescent="0.3">
      <c r="A98" s="57" t="s">
        <v>263</v>
      </c>
      <c r="B98" s="52"/>
      <c r="C98" s="58">
        <f>11+29+5+20+9+30+29+29+24+17+30+13+21+21+30+27+30+30+30+19+30+45+30+30+30+47+57+59+62</f>
        <v>844</v>
      </c>
      <c r="D98" s="52"/>
      <c r="E98" s="8"/>
      <c r="F98" s="52"/>
      <c r="G98" s="101">
        <f t="shared" si="1"/>
        <v>0</v>
      </c>
      <c r="H98" s="52"/>
      <c r="I98" s="52"/>
      <c r="J98" s="28"/>
      <c r="K98" s="29"/>
    </row>
    <row r="99" spans="1:11" ht="18.75" customHeight="1" x14ac:dyDescent="0.3">
      <c r="A99" s="57" t="s">
        <v>264</v>
      </c>
      <c r="B99" s="52"/>
      <c r="C99" s="58">
        <f>5</f>
        <v>5</v>
      </c>
      <c r="D99" s="52"/>
      <c r="E99" s="8"/>
      <c r="F99" s="52"/>
      <c r="G99" s="101">
        <f t="shared" si="1"/>
        <v>0</v>
      </c>
      <c r="H99" s="52"/>
      <c r="I99" s="52"/>
      <c r="J99" s="28"/>
      <c r="K99" s="29"/>
    </row>
    <row r="100" spans="1:11" ht="18.75" customHeight="1" x14ac:dyDescent="0.3">
      <c r="A100" s="57" t="s">
        <v>266</v>
      </c>
      <c r="B100" s="52"/>
      <c r="C100" s="58">
        <v>5</v>
      </c>
      <c r="D100" s="52"/>
      <c r="E100" s="8"/>
      <c r="F100" s="52"/>
      <c r="G100" s="101">
        <f t="shared" si="1"/>
        <v>0</v>
      </c>
      <c r="H100" s="52"/>
      <c r="I100" s="52"/>
      <c r="J100" s="28"/>
      <c r="K100" s="29"/>
    </row>
    <row r="101" spans="1:11" ht="18.75" customHeight="1" x14ac:dyDescent="0.3">
      <c r="A101" s="57" t="s">
        <v>265</v>
      </c>
      <c r="B101" s="52"/>
      <c r="C101" s="58">
        <f>28+31+30+30+32+31+30+31+29+31+30+31+28+30+31+30+30+30+31+31+32+38</f>
        <v>675</v>
      </c>
      <c r="D101" s="52"/>
      <c r="E101" s="8"/>
      <c r="F101" s="52"/>
      <c r="G101" s="101">
        <f t="shared" si="1"/>
        <v>0</v>
      </c>
      <c r="H101" s="52"/>
      <c r="I101" s="52"/>
      <c r="J101" s="28"/>
      <c r="K101" s="29"/>
    </row>
    <row r="102" spans="1:11" ht="18.75" customHeight="1" x14ac:dyDescent="0.3">
      <c r="A102" s="57" t="s">
        <v>267</v>
      </c>
      <c r="B102" s="52"/>
      <c r="C102" s="58">
        <f>31+1+8+14+28+28+30+30+31+31+31+31+32+33+38</f>
        <v>397</v>
      </c>
      <c r="D102" s="52"/>
      <c r="E102" s="8"/>
      <c r="F102" s="52"/>
      <c r="G102" s="101">
        <f t="shared" si="1"/>
        <v>0</v>
      </c>
      <c r="H102" s="52"/>
      <c r="I102" s="52"/>
      <c r="J102" s="28"/>
      <c r="K102" s="29"/>
    </row>
    <row r="103" spans="1:11" ht="18.75" customHeight="1" x14ac:dyDescent="0.3">
      <c r="A103" s="57" t="s">
        <v>268</v>
      </c>
      <c r="B103" s="52"/>
      <c r="C103" s="58">
        <v>24</v>
      </c>
      <c r="D103" s="52"/>
      <c r="E103" s="8"/>
      <c r="F103" s="52"/>
      <c r="G103" s="101">
        <f t="shared" si="1"/>
        <v>0</v>
      </c>
      <c r="H103" s="52"/>
      <c r="I103" s="52"/>
      <c r="J103" s="28"/>
      <c r="K103" s="29"/>
    </row>
    <row r="104" spans="1:11" ht="18.75" customHeight="1" x14ac:dyDescent="0.3">
      <c r="A104" s="57" t="s">
        <v>269</v>
      </c>
      <c r="B104" s="52"/>
      <c r="C104" s="58">
        <f>15+15+15+15+15+15+15+15+15+15+15+15+15+15+15+15+15</f>
        <v>255</v>
      </c>
      <c r="D104" s="52"/>
      <c r="E104" s="8"/>
      <c r="F104" s="52"/>
      <c r="G104" s="101">
        <f t="shared" si="1"/>
        <v>0</v>
      </c>
      <c r="H104" s="52"/>
      <c r="I104" s="52"/>
      <c r="J104" s="28"/>
      <c r="K104" s="29"/>
    </row>
    <row r="105" spans="1:11" ht="18.75" customHeight="1" x14ac:dyDescent="0.3">
      <c r="A105" s="57" t="s">
        <v>270</v>
      </c>
      <c r="B105" s="52"/>
      <c r="C105" s="58">
        <v>20</v>
      </c>
      <c r="D105" s="52"/>
      <c r="E105" s="8"/>
      <c r="F105" s="52"/>
      <c r="G105" s="101">
        <f t="shared" si="1"/>
        <v>0</v>
      </c>
      <c r="H105" s="52"/>
      <c r="I105" s="52"/>
      <c r="J105" s="28"/>
      <c r="K105" s="29"/>
    </row>
    <row r="106" spans="1:11" ht="18.75" customHeight="1" x14ac:dyDescent="0.3">
      <c r="A106" s="57" t="s">
        <v>271</v>
      </c>
      <c r="B106" s="52"/>
      <c r="C106" s="58">
        <f>17+28+21+21+29+29+29+30+30+30+31+31+31+31+31+31+32+47+28+28+28+29+29+30+30+30+30+30+31+31+31+31+31+31+32</f>
        <v>1039</v>
      </c>
      <c r="D106" s="52"/>
      <c r="E106" s="8"/>
      <c r="F106" s="52"/>
      <c r="G106" s="101">
        <f t="shared" si="1"/>
        <v>0</v>
      </c>
      <c r="H106" s="52"/>
      <c r="I106" s="52"/>
      <c r="J106" s="28"/>
      <c r="K106" s="29"/>
    </row>
    <row r="107" spans="1:11" ht="18.75" customHeight="1" x14ac:dyDescent="0.3">
      <c r="A107" s="57" t="s">
        <v>272</v>
      </c>
      <c r="B107" s="52"/>
      <c r="C107" s="58">
        <f>10+12+30</f>
        <v>52</v>
      </c>
      <c r="D107" s="52"/>
      <c r="E107" s="8"/>
      <c r="F107" s="52"/>
      <c r="G107" s="101">
        <f t="shared" si="1"/>
        <v>0</v>
      </c>
      <c r="H107" s="52"/>
      <c r="I107" s="52"/>
      <c r="J107" s="28"/>
      <c r="K107" s="29"/>
    </row>
    <row r="108" spans="1:11" ht="18.75" customHeight="1" x14ac:dyDescent="0.3">
      <c r="A108" s="57" t="s">
        <v>273</v>
      </c>
      <c r="B108" s="52"/>
      <c r="C108" s="58">
        <f>15+30</f>
        <v>45</v>
      </c>
      <c r="D108" s="52"/>
      <c r="E108" s="8"/>
      <c r="F108" s="52"/>
      <c r="G108" s="101">
        <f t="shared" si="1"/>
        <v>0</v>
      </c>
      <c r="H108" s="52"/>
      <c r="I108" s="52"/>
      <c r="J108" s="28"/>
      <c r="K108" s="29"/>
    </row>
    <row r="109" spans="1:11" ht="18.75" customHeight="1" x14ac:dyDescent="0.3">
      <c r="A109" s="57" t="s">
        <v>274</v>
      </c>
      <c r="B109" s="52"/>
      <c r="C109" s="58">
        <f>1170</f>
        <v>1170</v>
      </c>
      <c r="D109" s="52"/>
      <c r="E109" s="8"/>
      <c r="F109" s="52"/>
      <c r="G109" s="101">
        <f t="shared" si="1"/>
        <v>0</v>
      </c>
      <c r="H109" s="52"/>
      <c r="I109" s="52"/>
      <c r="J109" s="28"/>
      <c r="K109" s="29"/>
    </row>
    <row r="110" spans="1:11" ht="18.75" customHeight="1" x14ac:dyDescent="0.3">
      <c r="A110" s="57" t="s">
        <v>275</v>
      </c>
      <c r="B110" s="52"/>
      <c r="C110" s="58">
        <v>14</v>
      </c>
      <c r="D110" s="52"/>
      <c r="E110" s="8"/>
      <c r="F110" s="52"/>
      <c r="G110" s="101">
        <f t="shared" si="1"/>
        <v>0</v>
      </c>
      <c r="H110" s="52"/>
      <c r="I110" s="52"/>
      <c r="J110" s="28"/>
      <c r="K110" s="29"/>
    </row>
    <row r="111" spans="1:11" ht="18.75" customHeight="1" x14ac:dyDescent="0.3">
      <c r="A111" s="57" t="s">
        <v>276</v>
      </c>
      <c r="B111" s="52"/>
      <c r="C111" s="58">
        <f>1+85+95+69+71+74+84+89+90+90+91+91+91+93+93+94</f>
        <v>1301</v>
      </c>
      <c r="D111" s="52"/>
      <c r="E111" s="8"/>
      <c r="F111" s="52"/>
      <c r="G111" s="101">
        <f t="shared" si="1"/>
        <v>0</v>
      </c>
      <c r="H111" s="52"/>
      <c r="I111" s="52"/>
      <c r="J111" s="28"/>
      <c r="K111" s="29"/>
    </row>
    <row r="112" spans="1:11" ht="18.75" customHeight="1" x14ac:dyDescent="0.3">
      <c r="A112" s="57" t="s">
        <v>145</v>
      </c>
      <c r="B112" s="52"/>
      <c r="C112" s="58">
        <f>1+3+3+5+5+5+7+4+4+8+9+5+8+28</f>
        <v>95</v>
      </c>
      <c r="D112" s="52"/>
      <c r="E112" s="8"/>
      <c r="F112" s="52"/>
      <c r="G112" s="101">
        <f t="shared" si="1"/>
        <v>0</v>
      </c>
      <c r="H112" s="52"/>
      <c r="I112" s="52"/>
      <c r="J112" s="28"/>
      <c r="K112" s="29"/>
    </row>
    <row r="113" spans="1:11" ht="18.75" customHeight="1" x14ac:dyDescent="0.3">
      <c r="A113" s="57" t="s">
        <v>146</v>
      </c>
      <c r="B113" s="52"/>
      <c r="C113" s="58">
        <f>18+1+1+1+1+1+1+1+1+1+2+2+2+2+2+2+2+2+2+2+2+3+3+4+5+6+7+7+7+7+10+3+3+3+12+13+13+14+14+16+16+19+4+4+4+4+4+4+20+21+25+28+5+5+5+5+5+6+6+6+6+7+7+8+8+8+9+10+10+12+13+13+15+16+16+17+18+26+28+31+35+47+134</f>
        <v>889</v>
      </c>
      <c r="D113" s="52"/>
      <c r="E113" s="8"/>
      <c r="F113" s="52"/>
      <c r="G113" s="101">
        <f t="shared" si="1"/>
        <v>0</v>
      </c>
      <c r="H113" s="52"/>
      <c r="I113" s="52"/>
      <c r="J113" s="28"/>
      <c r="K113" s="29"/>
    </row>
    <row r="114" spans="1:11" ht="18.75" customHeight="1" x14ac:dyDescent="0.3">
      <c r="A114" s="57" t="s">
        <v>277</v>
      </c>
      <c r="B114" s="52"/>
      <c r="C114" s="58">
        <f>3+1+1+1+1+1+1+2+2+4+1+5+5+6+6+6+6+7+7+8+1+1+1+1+10+11+2+3+4+10+9+10+10+11+12+20+21+14+15+31+21+23+24+25+5+16+18+18+23</f>
        <v>444</v>
      </c>
      <c r="D114" s="52"/>
      <c r="E114" s="8"/>
      <c r="F114" s="52"/>
      <c r="G114" s="101">
        <f t="shared" si="1"/>
        <v>0</v>
      </c>
      <c r="H114" s="52"/>
      <c r="I114" s="52"/>
      <c r="J114" s="28"/>
      <c r="K114" s="29"/>
    </row>
    <row r="115" spans="1:11" ht="18.75" customHeight="1" x14ac:dyDescent="0.3">
      <c r="A115" s="57" t="s">
        <v>278</v>
      </c>
      <c r="B115" s="52"/>
      <c r="C115" s="58">
        <f>91+91+91</f>
        <v>273</v>
      </c>
      <c r="D115" s="52"/>
      <c r="E115" s="8"/>
      <c r="F115" s="52"/>
      <c r="G115" s="101">
        <f t="shared" si="1"/>
        <v>0</v>
      </c>
      <c r="H115" s="52"/>
      <c r="I115" s="52"/>
      <c r="J115" s="28"/>
      <c r="K115" s="29"/>
    </row>
    <row r="116" spans="1:11" ht="18.75" customHeight="1" x14ac:dyDescent="0.3">
      <c r="A116" s="57" t="s">
        <v>279</v>
      </c>
      <c r="B116" s="52"/>
      <c r="C116" s="58">
        <f>60+60+60</f>
        <v>180</v>
      </c>
      <c r="D116" s="52"/>
      <c r="E116" s="8"/>
      <c r="F116" s="52"/>
      <c r="G116" s="101">
        <f t="shared" si="1"/>
        <v>0</v>
      </c>
      <c r="H116" s="52"/>
      <c r="I116" s="52"/>
      <c r="J116" s="28"/>
      <c r="K116" s="29"/>
    </row>
    <row r="117" spans="1:11" ht="18.75" customHeight="1" x14ac:dyDescent="0.3">
      <c r="A117" s="57" t="s">
        <v>280</v>
      </c>
      <c r="B117" s="52"/>
      <c r="C117" s="58">
        <f>120+120+120+120+120+120+120+120+120+2880</f>
        <v>3960</v>
      </c>
      <c r="D117" s="52"/>
      <c r="E117" s="8"/>
      <c r="F117" s="52"/>
      <c r="G117" s="101">
        <f t="shared" si="1"/>
        <v>0</v>
      </c>
      <c r="H117" s="52"/>
      <c r="I117" s="52"/>
      <c r="J117" s="28"/>
      <c r="K117" s="29"/>
    </row>
    <row r="118" spans="1:11" ht="18.75" customHeight="1" x14ac:dyDescent="0.3">
      <c r="A118" s="57" t="s">
        <v>281</v>
      </c>
      <c r="B118" s="52"/>
      <c r="C118" s="58">
        <f>3311</f>
        <v>3311</v>
      </c>
      <c r="D118" s="52"/>
      <c r="E118" s="8"/>
      <c r="F118" s="52"/>
      <c r="G118" s="101">
        <f t="shared" si="1"/>
        <v>0</v>
      </c>
      <c r="H118" s="52"/>
      <c r="I118" s="52"/>
      <c r="J118" s="28"/>
      <c r="K118" s="29"/>
    </row>
    <row r="119" spans="1:11" ht="18.75" customHeight="1" x14ac:dyDescent="0.3">
      <c r="A119" s="57" t="s">
        <v>282</v>
      </c>
      <c r="B119" s="52"/>
      <c r="C119" s="58">
        <f>1+63+19+45+45+50+50+52+55+56+57+58+59+60+60+60+60+60+60+60+61+61+62+62+62+62+62+62+19+38+44+43+54+58+62+57+59+58+58+63+60+60+62+62+60+61+62+64+63+60</f>
        <v>2751</v>
      </c>
      <c r="D119" s="52"/>
      <c r="E119" s="8"/>
      <c r="F119" s="52"/>
      <c r="G119" s="101">
        <f t="shared" si="1"/>
        <v>0</v>
      </c>
      <c r="H119" s="52"/>
      <c r="I119" s="52"/>
      <c r="J119" s="28"/>
      <c r="K119" s="29"/>
    </row>
    <row r="120" spans="1:11" ht="18.75" customHeight="1" x14ac:dyDescent="0.3">
      <c r="A120" s="57" t="s">
        <v>283</v>
      </c>
      <c r="B120" s="52"/>
      <c r="C120" s="58">
        <v>25</v>
      </c>
      <c r="D120" s="52"/>
      <c r="E120" s="8"/>
      <c r="F120" s="52"/>
      <c r="G120" s="101">
        <f t="shared" si="1"/>
        <v>0</v>
      </c>
      <c r="H120" s="52"/>
      <c r="I120" s="52"/>
      <c r="J120" s="28"/>
      <c r="K120" s="29"/>
    </row>
    <row r="121" spans="1:11" ht="18.75" customHeight="1" x14ac:dyDescent="0.3">
      <c r="A121" s="57" t="s">
        <v>284</v>
      </c>
      <c r="B121" s="52"/>
      <c r="C121" s="58">
        <f>8+73+32+42+47+51+58+59+60+60+63+63+30</f>
        <v>646</v>
      </c>
      <c r="D121" s="52"/>
      <c r="E121" s="8"/>
      <c r="F121" s="52"/>
      <c r="G121" s="101">
        <f t="shared" si="1"/>
        <v>0</v>
      </c>
      <c r="H121" s="52"/>
      <c r="I121" s="52"/>
      <c r="J121" s="28"/>
      <c r="K121" s="29"/>
    </row>
    <row r="122" spans="1:11" ht="18.75" customHeight="1" x14ac:dyDescent="0.3">
      <c r="A122" s="57" t="s">
        <v>285</v>
      </c>
      <c r="B122" s="52"/>
      <c r="C122" s="58">
        <f>6+132+168+22+69+80+78+90+85+88+116+102+116+112+123+142+126+139+122+169+173+146+159+171+141+176+177+175+180</f>
        <v>3583</v>
      </c>
      <c r="D122" s="52"/>
      <c r="E122" s="8"/>
      <c r="F122" s="52"/>
      <c r="G122" s="101">
        <f t="shared" si="1"/>
        <v>0</v>
      </c>
      <c r="H122" s="52"/>
      <c r="I122" s="52"/>
      <c r="J122" s="28"/>
      <c r="K122" s="29"/>
    </row>
    <row r="123" spans="1:11" ht="18.75" customHeight="1" x14ac:dyDescent="0.3">
      <c r="A123" s="57" t="s">
        <v>286</v>
      </c>
      <c r="B123" s="52"/>
      <c r="C123" s="58">
        <f>9+20+31</f>
        <v>60</v>
      </c>
      <c r="D123" s="52"/>
      <c r="E123" s="8"/>
      <c r="F123" s="52"/>
      <c r="G123" s="101">
        <f t="shared" si="1"/>
        <v>0</v>
      </c>
      <c r="H123" s="52"/>
      <c r="I123" s="52"/>
      <c r="J123" s="28"/>
      <c r="K123" s="29"/>
    </row>
    <row r="124" spans="1:11" ht="18.75" customHeight="1" x14ac:dyDescent="0.3">
      <c r="A124" s="57" t="s">
        <v>287</v>
      </c>
      <c r="B124" s="52"/>
      <c r="C124" s="58">
        <v>10</v>
      </c>
      <c r="D124" s="52"/>
      <c r="E124" s="8"/>
      <c r="F124" s="52"/>
      <c r="G124" s="101">
        <f t="shared" si="1"/>
        <v>0</v>
      </c>
      <c r="H124" s="52"/>
      <c r="I124" s="52"/>
      <c r="J124" s="28"/>
      <c r="K124" s="29"/>
    </row>
    <row r="125" spans="1:11" ht="18.75" customHeight="1" x14ac:dyDescent="0.3">
      <c r="A125" s="57" t="s">
        <v>288</v>
      </c>
      <c r="B125" s="52"/>
      <c r="C125" s="58">
        <f>3+15+15+15+15+15+15+15+510+120</f>
        <v>738</v>
      </c>
      <c r="D125" s="52"/>
      <c r="E125" s="8"/>
      <c r="F125" s="52"/>
      <c r="G125" s="101">
        <f t="shared" si="1"/>
        <v>0</v>
      </c>
      <c r="H125" s="52"/>
      <c r="I125" s="52"/>
      <c r="J125" s="28"/>
      <c r="K125" s="29"/>
    </row>
    <row r="126" spans="1:11" ht="18.75" customHeight="1" x14ac:dyDescent="0.3">
      <c r="A126" s="57" t="s">
        <v>64</v>
      </c>
      <c r="B126" s="52"/>
      <c r="C126" s="58">
        <v>5</v>
      </c>
      <c r="D126" s="52"/>
      <c r="E126" s="8"/>
      <c r="F126" s="52"/>
      <c r="G126" s="101">
        <f t="shared" si="1"/>
        <v>0</v>
      </c>
      <c r="H126" s="52"/>
      <c r="I126" s="52"/>
      <c r="J126" s="28"/>
      <c r="K126" s="29"/>
    </row>
    <row r="127" spans="1:11" ht="18.75" customHeight="1" x14ac:dyDescent="0.3">
      <c r="A127" s="57" t="s">
        <v>289</v>
      </c>
      <c r="B127" s="52"/>
      <c r="C127" s="58">
        <f>1+14+14+14+14+14+30+30+30+30+30+30+30+30+30+30+30+30+30+30</f>
        <v>491</v>
      </c>
      <c r="D127" s="52"/>
      <c r="E127" s="8"/>
      <c r="F127" s="52"/>
      <c r="G127" s="101">
        <f t="shared" si="1"/>
        <v>0</v>
      </c>
      <c r="H127" s="52"/>
      <c r="I127" s="52"/>
      <c r="J127" s="28"/>
      <c r="K127" s="29"/>
    </row>
    <row r="128" spans="1:11" ht="18.75" customHeight="1" x14ac:dyDescent="0.3">
      <c r="A128" s="57" t="s">
        <v>290</v>
      </c>
      <c r="B128" s="52"/>
      <c r="C128" s="58">
        <f>17</f>
        <v>17</v>
      </c>
      <c r="D128" s="52"/>
      <c r="E128" s="8"/>
      <c r="F128" s="52"/>
      <c r="G128" s="101">
        <f t="shared" si="1"/>
        <v>0</v>
      </c>
      <c r="H128" s="52"/>
      <c r="I128" s="52"/>
      <c r="J128" s="28"/>
      <c r="K128" s="29"/>
    </row>
    <row r="129" spans="1:11" ht="18.75" customHeight="1" x14ac:dyDescent="0.3">
      <c r="A129" s="57" t="s">
        <v>291</v>
      </c>
      <c r="B129" s="52"/>
      <c r="C129" s="58">
        <f>7+5+10+25</f>
        <v>47</v>
      </c>
      <c r="D129" s="52"/>
      <c r="E129" s="8"/>
      <c r="F129" s="52"/>
      <c r="G129" s="101">
        <f t="shared" si="1"/>
        <v>0</v>
      </c>
      <c r="H129" s="52"/>
      <c r="I129" s="52"/>
      <c r="J129" s="28"/>
      <c r="K129" s="29"/>
    </row>
    <row r="130" spans="1:11" ht="18.75" customHeight="1" x14ac:dyDescent="0.3">
      <c r="A130" s="57" t="s">
        <v>292</v>
      </c>
      <c r="B130" s="52"/>
      <c r="C130" s="58">
        <f>91+91+91</f>
        <v>273</v>
      </c>
      <c r="D130" s="52"/>
      <c r="E130" s="8"/>
      <c r="F130" s="52"/>
      <c r="G130" s="101">
        <f t="shared" si="1"/>
        <v>0</v>
      </c>
      <c r="H130" s="52"/>
      <c r="I130" s="52"/>
      <c r="J130" s="28"/>
      <c r="K130" s="29"/>
    </row>
    <row r="131" spans="1:11" ht="18.75" customHeight="1" x14ac:dyDescent="0.3">
      <c r="A131" s="57" t="s">
        <v>293</v>
      </c>
      <c r="B131" s="52"/>
      <c r="C131" s="58">
        <v>91</v>
      </c>
      <c r="D131" s="52"/>
      <c r="E131" s="8"/>
      <c r="F131" s="52"/>
      <c r="G131" s="101">
        <f t="shared" si="1"/>
        <v>0</v>
      </c>
      <c r="H131" s="52"/>
      <c r="I131" s="52"/>
      <c r="J131" s="28"/>
      <c r="K131" s="29"/>
    </row>
    <row r="132" spans="1:11" ht="18.75" customHeight="1" x14ac:dyDescent="0.3">
      <c r="A132" s="57" t="s">
        <v>294</v>
      </c>
      <c r="B132" s="52"/>
      <c r="C132" s="58">
        <f>28+29+30+31+31+31+32+27+29+31+31+30+30+30+30+30+30+30+31+31+31+31+31+31+30+32+32+34</f>
        <v>854</v>
      </c>
      <c r="D132" s="52"/>
      <c r="E132" s="8"/>
      <c r="F132" s="52"/>
      <c r="G132" s="101">
        <f t="shared" si="1"/>
        <v>0</v>
      </c>
      <c r="H132" s="52"/>
      <c r="I132" s="52"/>
      <c r="J132" s="28"/>
      <c r="K132" s="29"/>
    </row>
    <row r="133" spans="1:11" ht="18.75" customHeight="1" x14ac:dyDescent="0.3">
      <c r="A133" s="57" t="s">
        <v>295</v>
      </c>
      <c r="B133" s="52"/>
      <c r="C133" s="58">
        <f>21+22+19+28+28+31+30</f>
        <v>179</v>
      </c>
      <c r="D133" s="52"/>
      <c r="E133" s="8"/>
      <c r="F133" s="52"/>
      <c r="G133" s="101">
        <f t="shared" si="1"/>
        <v>0</v>
      </c>
      <c r="H133" s="52"/>
      <c r="I133" s="52"/>
      <c r="J133" s="28"/>
      <c r="K133" s="29"/>
    </row>
    <row r="134" spans="1:11" ht="18.75" customHeight="1" x14ac:dyDescent="0.3">
      <c r="A134" s="57" t="s">
        <v>296</v>
      </c>
      <c r="B134" s="52"/>
      <c r="C134" s="58">
        <f>20+28+30+30+31+31+31+32+28+29+29+29+30+30+30+30+31+31+31+31+31+31+31+30+30+30+31+31+31</f>
        <v>868</v>
      </c>
      <c r="D134" s="52"/>
      <c r="E134" s="8"/>
      <c r="F134" s="52"/>
      <c r="G134" s="101">
        <f t="shared" si="1"/>
        <v>0</v>
      </c>
      <c r="H134" s="52"/>
      <c r="I134" s="52"/>
      <c r="J134" s="28"/>
      <c r="K134" s="29"/>
    </row>
    <row r="135" spans="1:11" ht="18.75" customHeight="1" x14ac:dyDescent="0.3">
      <c r="A135" s="57" t="s">
        <v>297</v>
      </c>
      <c r="B135" s="52"/>
      <c r="C135" s="58">
        <f>18+22+29+30+30+31+31+31+31+26+26+30+31+32+28+29+29+30+30+30+30+30+30+30+30+30+31+31+31+31+31+31+31+31+31+31+31+31</f>
        <v>1126</v>
      </c>
      <c r="D135" s="52"/>
      <c r="E135" s="8"/>
      <c r="F135" s="52"/>
      <c r="G135" s="101">
        <f t="shared" si="1"/>
        <v>0</v>
      </c>
      <c r="H135" s="52"/>
      <c r="I135" s="52"/>
      <c r="J135" s="28"/>
      <c r="K135" s="29"/>
    </row>
    <row r="136" spans="1:11" ht="18.75" customHeight="1" x14ac:dyDescent="0.3">
      <c r="A136" s="57" t="s">
        <v>298</v>
      </c>
      <c r="B136" s="52"/>
      <c r="C136" s="58">
        <f>8+28+28+28+29+29+29+30+30+30+30+30+30+30+30+31+31+31+31+31+31+31+31+31+32+32+32+39</f>
        <v>833</v>
      </c>
      <c r="D136" s="52"/>
      <c r="E136" s="8"/>
      <c r="F136" s="52"/>
      <c r="G136" s="101">
        <f t="shared" si="1"/>
        <v>0</v>
      </c>
      <c r="H136" s="52"/>
      <c r="I136" s="52"/>
      <c r="J136" s="28"/>
      <c r="K136" s="29"/>
    </row>
    <row r="137" spans="1:11" ht="18.75" customHeight="1" x14ac:dyDescent="0.3">
      <c r="A137" s="57" t="s">
        <v>299</v>
      </c>
      <c r="B137" s="52"/>
      <c r="C137" s="58">
        <f>11+18+22+21+30+29+29+27+30+30+31+30+32+31+31+31+31+31+31+32</f>
        <v>558</v>
      </c>
      <c r="D137" s="52"/>
      <c r="E137" s="8"/>
      <c r="F137" s="52"/>
      <c r="G137" s="101">
        <f t="shared" si="1"/>
        <v>0</v>
      </c>
      <c r="H137" s="52"/>
      <c r="I137" s="52"/>
      <c r="J137" s="28"/>
      <c r="K137" s="29"/>
    </row>
    <row r="138" spans="1:11" ht="18.75" customHeight="1" x14ac:dyDescent="0.3">
      <c r="A138" s="57" t="s">
        <v>300</v>
      </c>
      <c r="B138" s="52"/>
      <c r="C138" s="58">
        <f>31+28+31+30+5+30+29+29+29+29+30+30+31+30+31+31+31+31+31+31+30+30+30+32+38+30+31</f>
        <v>799</v>
      </c>
      <c r="D138" s="52"/>
      <c r="E138" s="9"/>
      <c r="F138" s="52"/>
      <c r="G138" s="101">
        <f t="shared" si="1"/>
        <v>0</v>
      </c>
      <c r="H138" s="52"/>
      <c r="I138" s="52"/>
      <c r="J138" s="28"/>
      <c r="K138" s="29"/>
    </row>
    <row r="139" spans="1:11" ht="18.75" customHeight="1" x14ac:dyDescent="0.3">
      <c r="A139" s="57" t="s">
        <v>301</v>
      </c>
      <c r="B139" s="52"/>
      <c r="C139" s="58">
        <f>14+11+20+24+23+30+30+31+31+30+31+31+28+29+32+34+31+31+32+31+31+31+31+31+31+33+36+60+28+29+30+31+30+31+29+31+32+31+31+31+31</f>
        <v>1233</v>
      </c>
      <c r="D139" s="52"/>
      <c r="E139" s="8"/>
      <c r="F139" s="52"/>
      <c r="G139" s="101">
        <f t="shared" si="1"/>
        <v>0</v>
      </c>
      <c r="H139" s="52"/>
      <c r="I139" s="52"/>
      <c r="J139" s="28"/>
      <c r="K139" s="29"/>
    </row>
    <row r="140" spans="1:11" ht="18.75" customHeight="1" x14ac:dyDescent="0.3">
      <c r="A140" s="57" t="s">
        <v>302</v>
      </c>
      <c r="B140" s="52"/>
      <c r="C140" s="58">
        <f>22+28+30+31+25+31+30</f>
        <v>197</v>
      </c>
      <c r="D140" s="52"/>
      <c r="E140" s="8"/>
      <c r="F140" s="52"/>
      <c r="G140" s="101">
        <f t="shared" ref="G140:G203" si="2">C140*E140</f>
        <v>0</v>
      </c>
      <c r="H140" s="52"/>
      <c r="I140" s="52"/>
      <c r="J140" s="28"/>
      <c r="K140" s="29"/>
    </row>
    <row r="141" spans="1:11" ht="18.75" customHeight="1" x14ac:dyDescent="0.3">
      <c r="A141" s="57" t="s">
        <v>303</v>
      </c>
      <c r="B141" s="52"/>
      <c r="C141" s="58">
        <f>1+15+15+54+74+9+15+17+19+13+22+22+23+27+29+29+29+30+30+30+30+30+30+30+30+30+30+31+31+31+31+32+32+32+32+32+33+37+38+40+40+42+44+45+46+22+48+48+49+49+50+50+51+52+52+52+52+53+54+55+55+56+56+58+58+58+58+58+59+59+59+59+60+60+60+60+60+60+60+60+60+61+61+61+61+61+61+61+61+62+62+62+62+62+62+62+62+62+62+62+63+63+63+63+64+64+65+66+29+70+70+70+32+32+34+37+41+43+45+46+47+52+53+54+55+55+56+56+56+57+57+58+58+59+59+59+60+60+60+60+60+60+60+60+60+60+60+61+61+61+61+61+61+61+62+62+62+62+62+62+62+63+63+63+70+84+88+92</f>
        <v>8497</v>
      </c>
      <c r="D141" s="52"/>
      <c r="E141" s="8"/>
      <c r="F141" s="52"/>
      <c r="G141" s="101">
        <f t="shared" si="2"/>
        <v>0</v>
      </c>
      <c r="H141" s="52"/>
      <c r="I141" s="52"/>
      <c r="J141" s="28"/>
      <c r="K141" s="29"/>
    </row>
    <row r="142" spans="1:11" ht="18.75" customHeight="1" x14ac:dyDescent="0.3">
      <c r="A142" s="57" t="s">
        <v>304</v>
      </c>
      <c r="B142" s="52"/>
      <c r="C142" s="58">
        <f>30+31</f>
        <v>61</v>
      </c>
      <c r="D142" s="52"/>
      <c r="E142" s="8"/>
      <c r="F142" s="52"/>
      <c r="G142" s="101">
        <f t="shared" si="2"/>
        <v>0</v>
      </c>
      <c r="H142" s="52"/>
      <c r="I142" s="52"/>
      <c r="J142" s="28"/>
      <c r="K142" s="29"/>
    </row>
    <row r="143" spans="1:11" ht="18.75" customHeight="1" x14ac:dyDescent="0.3">
      <c r="A143" s="57" t="s">
        <v>305</v>
      </c>
      <c r="B143" s="52"/>
      <c r="C143" s="58">
        <f>2+28+56+47+47+48+62+53+55+55+55+57+58+59+59+61</f>
        <v>802</v>
      </c>
      <c r="D143" s="52"/>
      <c r="E143" s="8"/>
      <c r="F143" s="52"/>
      <c r="G143" s="101">
        <f t="shared" si="2"/>
        <v>0</v>
      </c>
      <c r="H143" s="52"/>
      <c r="I143" s="52"/>
      <c r="J143" s="28"/>
      <c r="K143" s="29"/>
    </row>
    <row r="144" spans="1:11" ht="18.75" customHeight="1" x14ac:dyDescent="0.3">
      <c r="A144" s="57" t="s">
        <v>306</v>
      </c>
      <c r="B144" s="52"/>
      <c r="C144" s="58">
        <f>59+7+28+5+7+9+10+13+13+16+16+17+17+17+19+19+19+20+19+22+22+22+23+24+24+24+24+24+25+25+25+25+26+27+27+28+28+28+28+29+29+29+29+30+30+30+30+30+30+30+30+30+30+30+31+31+31+31+31+31+31+31+31+31+31+31+31+31+31+31+31+31+31+32+32+32+32+32+32+32+29+29+29+29+29+33+30+30+30+30+30+30+30+34+34+31+31+31+31+31+31+31+31+31+32+32+32+33+38+38+38+42+43+44+47+48+53+53+55+55+55+55+56+56+53+57+57+57+58+58+58+58+55+59+59+59+59+56+60+60+60+61+61+62+62+62+62+62+62+60+63+61+62+63+70</f>
        <v>5586</v>
      </c>
      <c r="D144" s="52"/>
      <c r="E144" s="8"/>
      <c r="F144" s="52"/>
      <c r="G144" s="101">
        <f t="shared" si="2"/>
        <v>0</v>
      </c>
      <c r="H144" s="52"/>
      <c r="I144" s="52"/>
      <c r="J144" s="28"/>
      <c r="K144" s="29"/>
    </row>
    <row r="145" spans="1:11" ht="18.75" customHeight="1" x14ac:dyDescent="0.3">
      <c r="A145" s="57" t="s">
        <v>307</v>
      </c>
      <c r="B145" s="52"/>
      <c r="C145" s="58">
        <f>17+18+22+23+24+28+28+28+29+29+30+31+31+31+31+31+29+29+29+33+30+31+33+37+62</f>
        <v>744</v>
      </c>
      <c r="D145" s="52"/>
      <c r="E145" s="8"/>
      <c r="F145" s="52"/>
      <c r="G145" s="101">
        <f t="shared" si="2"/>
        <v>0</v>
      </c>
      <c r="H145" s="52"/>
      <c r="I145" s="52"/>
      <c r="J145" s="28"/>
      <c r="K145" s="29"/>
    </row>
    <row r="146" spans="1:11" ht="18.75" customHeight="1" x14ac:dyDescent="0.3">
      <c r="A146" s="57" t="s">
        <v>308</v>
      </c>
      <c r="B146" s="52"/>
      <c r="C146" s="58">
        <f>10+18+20+21+23+23+24+26+27+28+28+29+29+30+30+30+30+30+30+30+30+31+31+31+31+31+31+31+31+31+31+31+31+31+31+31+32+33+35+40+47+14+23+18+55+29+30+30+59+30+30+31+31+31+62+38+60+61</f>
        <v>1830</v>
      </c>
      <c r="D146" s="52"/>
      <c r="E146" s="8"/>
      <c r="F146" s="52"/>
      <c r="G146" s="101">
        <f t="shared" si="2"/>
        <v>0</v>
      </c>
      <c r="H146" s="52"/>
      <c r="I146" s="52"/>
      <c r="J146" s="28"/>
      <c r="K146" s="29"/>
    </row>
    <row r="147" spans="1:11" ht="18.75" customHeight="1" x14ac:dyDescent="0.3">
      <c r="A147" s="57" t="s">
        <v>309</v>
      </c>
      <c r="B147" s="52"/>
      <c r="C147" s="58">
        <f>17+36+36+58+60+61+61+62+62</f>
        <v>453</v>
      </c>
      <c r="D147" s="52"/>
      <c r="E147" s="8"/>
      <c r="F147" s="52"/>
      <c r="G147" s="101">
        <f t="shared" si="2"/>
        <v>0</v>
      </c>
      <c r="H147" s="52"/>
      <c r="I147" s="52"/>
      <c r="J147" s="28"/>
      <c r="K147" s="29"/>
    </row>
    <row r="148" spans="1:11" ht="18.75" customHeight="1" x14ac:dyDescent="0.3">
      <c r="A148" s="57" t="s">
        <v>310</v>
      </c>
      <c r="B148" s="52"/>
      <c r="C148" s="58">
        <v>150</v>
      </c>
      <c r="D148" s="52"/>
      <c r="E148" s="8"/>
      <c r="F148" s="52"/>
      <c r="G148" s="101">
        <f t="shared" si="2"/>
        <v>0</v>
      </c>
      <c r="H148" s="52"/>
      <c r="I148" s="52"/>
      <c r="J148" s="28"/>
      <c r="K148" s="29"/>
    </row>
    <row r="149" spans="1:11" ht="18.75" customHeight="1" x14ac:dyDescent="0.3">
      <c r="A149" s="57" t="s">
        <v>311</v>
      </c>
      <c r="B149" s="52"/>
      <c r="C149" s="58">
        <f>420+1020+1018+962+909+960</f>
        <v>5289</v>
      </c>
      <c r="D149" s="52"/>
      <c r="E149" s="8"/>
      <c r="F149" s="52"/>
      <c r="G149" s="101">
        <f t="shared" si="2"/>
        <v>0</v>
      </c>
      <c r="H149" s="52"/>
      <c r="I149" s="52"/>
      <c r="J149" s="28"/>
      <c r="K149" s="29"/>
    </row>
    <row r="150" spans="1:11" ht="18.75" customHeight="1" x14ac:dyDescent="0.3">
      <c r="A150" s="57" t="s">
        <v>312</v>
      </c>
      <c r="B150" s="52"/>
      <c r="C150" s="58">
        <f>60+1050+330</f>
        <v>1440</v>
      </c>
      <c r="D150" s="52"/>
      <c r="E150" s="8"/>
      <c r="F150" s="52"/>
      <c r="G150" s="101">
        <f t="shared" si="2"/>
        <v>0</v>
      </c>
      <c r="H150" s="52"/>
      <c r="I150" s="52"/>
      <c r="J150" s="28"/>
      <c r="K150" s="29"/>
    </row>
    <row r="151" spans="1:11" ht="18.75" customHeight="1" x14ac:dyDescent="0.3">
      <c r="A151" s="57" t="s">
        <v>313</v>
      </c>
      <c r="B151" s="52"/>
      <c r="C151" s="58">
        <f>23+1+2+2+2+2+2+2+2+2+2+3+3+4+4+4+5+5+1+1+1+1+1+1+1+1+1+1+1+1+1+1+1+1+1+34+1+1+1+2+2+2+2+2+2+2+2+2+2+2+2+2+2+2+2+3+3+3+3+4+5</f>
        <v>177</v>
      </c>
      <c r="D151" s="52"/>
      <c r="E151" s="8"/>
      <c r="F151" s="52"/>
      <c r="G151" s="101">
        <f t="shared" si="2"/>
        <v>0</v>
      </c>
      <c r="H151" s="52"/>
      <c r="I151" s="52"/>
      <c r="J151" s="28"/>
      <c r="K151" s="29"/>
    </row>
    <row r="152" spans="1:11" ht="18.75" customHeight="1" x14ac:dyDescent="0.3">
      <c r="A152" s="57" t="s">
        <v>314</v>
      </c>
      <c r="B152" s="52"/>
      <c r="C152" s="58">
        <f>4+6+14+14+14+14+14+14+14+476+266</f>
        <v>850</v>
      </c>
      <c r="D152" s="52"/>
      <c r="E152" s="8"/>
      <c r="F152" s="52"/>
      <c r="G152" s="101">
        <f t="shared" si="2"/>
        <v>0</v>
      </c>
      <c r="H152" s="52"/>
      <c r="I152" s="52"/>
      <c r="J152" s="28"/>
      <c r="K152" s="29"/>
    </row>
    <row r="153" spans="1:11" ht="18.75" customHeight="1" x14ac:dyDescent="0.3">
      <c r="A153" s="57" t="s">
        <v>315</v>
      </c>
      <c r="B153" s="52"/>
      <c r="C153" s="58">
        <f>428+952+954+952+224</f>
        <v>3510</v>
      </c>
      <c r="D153" s="52"/>
      <c r="E153" s="8"/>
      <c r="F153" s="52"/>
      <c r="G153" s="101">
        <f t="shared" si="2"/>
        <v>0</v>
      </c>
      <c r="H153" s="52"/>
      <c r="I153" s="52"/>
      <c r="J153" s="28"/>
      <c r="K153" s="29"/>
    </row>
    <row r="154" spans="1:11" ht="18.75" customHeight="1" x14ac:dyDescent="0.3">
      <c r="A154" s="57" t="s">
        <v>316</v>
      </c>
      <c r="B154" s="52"/>
      <c r="C154" s="58">
        <f>5</f>
        <v>5</v>
      </c>
      <c r="D154" s="52"/>
      <c r="E154" s="8"/>
      <c r="F154" s="52"/>
      <c r="G154" s="101">
        <f t="shared" si="2"/>
        <v>0</v>
      </c>
      <c r="H154" s="52"/>
      <c r="I154" s="52"/>
      <c r="J154" s="28"/>
      <c r="K154" s="29"/>
    </row>
    <row r="155" spans="1:11" ht="18.75" customHeight="1" x14ac:dyDescent="0.3">
      <c r="A155" s="57" t="s">
        <v>317</v>
      </c>
      <c r="B155" s="52"/>
      <c r="C155" s="58">
        <v>11</v>
      </c>
      <c r="D155" s="52"/>
      <c r="E155" s="8"/>
      <c r="F155" s="52"/>
      <c r="G155" s="101">
        <f t="shared" si="2"/>
        <v>0</v>
      </c>
      <c r="H155" s="52"/>
      <c r="I155" s="52"/>
      <c r="J155" s="28"/>
      <c r="K155" s="29"/>
    </row>
    <row r="156" spans="1:11" ht="18.75" customHeight="1" x14ac:dyDescent="0.3">
      <c r="A156" s="57" t="s">
        <v>318</v>
      </c>
      <c r="B156" s="52"/>
      <c r="C156" s="58">
        <f>11+20+5+5+7+14+14+14+15+19+3+30+5+10+26+29+30+30+33</f>
        <v>320</v>
      </c>
      <c r="D156" s="52"/>
      <c r="E156" s="8"/>
      <c r="F156" s="52"/>
      <c r="G156" s="101">
        <f t="shared" si="2"/>
        <v>0</v>
      </c>
      <c r="H156" s="52"/>
      <c r="I156" s="52"/>
      <c r="J156" s="28"/>
      <c r="K156" s="29"/>
    </row>
    <row r="157" spans="1:11" ht="18.75" customHeight="1" x14ac:dyDescent="0.3">
      <c r="A157" s="57" t="s">
        <v>319</v>
      </c>
      <c r="B157" s="52"/>
      <c r="C157" s="58">
        <f>15+39+63+39+44+46+46+58+60+63</f>
        <v>473</v>
      </c>
      <c r="D157" s="52"/>
      <c r="E157" s="8"/>
      <c r="F157" s="52"/>
      <c r="G157" s="101">
        <f t="shared" si="2"/>
        <v>0</v>
      </c>
      <c r="H157" s="52"/>
      <c r="I157" s="52"/>
      <c r="J157" s="28"/>
      <c r="K157" s="29"/>
    </row>
    <row r="158" spans="1:11" ht="18.75" customHeight="1" x14ac:dyDescent="0.3">
      <c r="A158" s="57" t="s">
        <v>320</v>
      </c>
      <c r="B158" s="52"/>
      <c r="C158" s="58">
        <f>20+36+43+45+56+57+57+58+59+60+60+60+62+62+62+63+63+63+40+41+42+56+60+62+61+60+59+60+62+60+63+63+64+64+28</f>
        <v>1931</v>
      </c>
      <c r="D158" s="52"/>
      <c r="E158" s="8"/>
      <c r="F158" s="52"/>
      <c r="G158" s="101">
        <f t="shared" si="2"/>
        <v>0</v>
      </c>
      <c r="H158" s="52"/>
      <c r="I158" s="52"/>
      <c r="J158" s="28"/>
      <c r="K158" s="29"/>
    </row>
    <row r="159" spans="1:11" ht="18.75" customHeight="1" x14ac:dyDescent="0.3">
      <c r="A159" s="57" t="s">
        <v>321</v>
      </c>
      <c r="B159" s="52"/>
      <c r="C159" s="58">
        <f>5+21+1+1+1+2+3+3+3+4+4+4+4+5+5+7+6+9+9+9+10+10+7+7+14+8+21+10+25</f>
        <v>218</v>
      </c>
      <c r="D159" s="52"/>
      <c r="E159" s="8"/>
      <c r="F159" s="52"/>
      <c r="G159" s="101">
        <f t="shared" si="2"/>
        <v>0</v>
      </c>
      <c r="H159" s="52"/>
      <c r="I159" s="52"/>
      <c r="J159" s="28"/>
      <c r="K159" s="29"/>
    </row>
    <row r="160" spans="1:11" ht="18.75" customHeight="1" x14ac:dyDescent="0.3">
      <c r="A160" s="57" t="s">
        <v>322</v>
      </c>
      <c r="B160" s="52"/>
      <c r="C160" s="58">
        <f>45+56+61+55+59+58+59+63+58+64+60+60+62+63+64+56+57+56+56+58+60+62+61+60+60+60+66+63</f>
        <v>1662</v>
      </c>
      <c r="D160" s="52"/>
      <c r="E160" s="8"/>
      <c r="F160" s="52"/>
      <c r="G160" s="101">
        <f t="shared" si="2"/>
        <v>0</v>
      </c>
      <c r="H160" s="52"/>
      <c r="I160" s="52"/>
      <c r="J160" s="28"/>
      <c r="K160" s="29"/>
    </row>
    <row r="161" spans="1:11" ht="18.75" customHeight="1" x14ac:dyDescent="0.3">
      <c r="A161" s="57" t="s">
        <v>323</v>
      </c>
      <c r="B161" s="52"/>
      <c r="C161" s="58">
        <f>14+14+30+21+21</f>
        <v>100</v>
      </c>
      <c r="D161" s="52"/>
      <c r="E161" s="8"/>
      <c r="F161" s="52"/>
      <c r="G161" s="101">
        <f t="shared" si="2"/>
        <v>0</v>
      </c>
      <c r="H161" s="52"/>
      <c r="I161" s="52"/>
      <c r="J161" s="28"/>
      <c r="K161" s="29"/>
    </row>
    <row r="162" spans="1:11" ht="18.75" customHeight="1" x14ac:dyDescent="0.3">
      <c r="A162" s="57" t="s">
        <v>324</v>
      </c>
      <c r="B162" s="52"/>
      <c r="C162" s="58">
        <f>20+28+29+29+29+30+30+30+30+31+31+31+31+32+33+30+30</f>
        <v>504</v>
      </c>
      <c r="D162" s="52"/>
      <c r="E162" s="8"/>
      <c r="F162" s="52"/>
      <c r="G162" s="101">
        <f t="shared" si="2"/>
        <v>0</v>
      </c>
      <c r="H162" s="52"/>
      <c r="I162" s="52"/>
      <c r="J162" s="28"/>
      <c r="K162" s="29"/>
    </row>
    <row r="163" spans="1:11" ht="18.75" customHeight="1" x14ac:dyDescent="0.3">
      <c r="A163" s="57" t="s">
        <v>325</v>
      </c>
      <c r="B163" s="52"/>
      <c r="C163" s="58">
        <f>15+21+30+30+30</f>
        <v>126</v>
      </c>
      <c r="D163" s="52"/>
      <c r="E163" s="8"/>
      <c r="F163" s="52"/>
      <c r="G163" s="101">
        <f t="shared" si="2"/>
        <v>0</v>
      </c>
      <c r="H163" s="52"/>
      <c r="I163" s="52"/>
      <c r="J163" s="28"/>
      <c r="K163" s="29"/>
    </row>
    <row r="164" spans="1:11" ht="18.75" customHeight="1" x14ac:dyDescent="0.3">
      <c r="A164" s="57" t="s">
        <v>326</v>
      </c>
      <c r="B164" s="52"/>
      <c r="C164" s="58">
        <f>16+17+30+30+30+30+30+31+30+30+32+32+31+31</f>
        <v>400</v>
      </c>
      <c r="D164" s="52"/>
      <c r="E164" s="8"/>
      <c r="F164" s="52"/>
      <c r="G164" s="101">
        <f t="shared" si="2"/>
        <v>0</v>
      </c>
      <c r="H164" s="52"/>
      <c r="I164" s="52"/>
      <c r="J164" s="28"/>
      <c r="K164" s="29"/>
    </row>
    <row r="165" spans="1:11" ht="18.75" customHeight="1" x14ac:dyDescent="0.3">
      <c r="A165" s="57" t="s">
        <v>327</v>
      </c>
      <c r="B165" s="52"/>
      <c r="C165" s="58">
        <v>10</v>
      </c>
      <c r="D165" s="52"/>
      <c r="E165" s="8"/>
      <c r="F165" s="52"/>
      <c r="G165" s="101">
        <f t="shared" si="2"/>
        <v>0</v>
      </c>
      <c r="H165" s="52"/>
      <c r="I165" s="52"/>
      <c r="J165" s="28"/>
      <c r="K165" s="29"/>
    </row>
    <row r="166" spans="1:11" ht="18.75" customHeight="1" x14ac:dyDescent="0.3">
      <c r="A166" s="57" t="s">
        <v>328</v>
      </c>
      <c r="B166" s="52"/>
      <c r="C166" s="58">
        <v>20</v>
      </c>
      <c r="D166" s="52"/>
      <c r="E166" s="8"/>
      <c r="F166" s="52"/>
      <c r="G166" s="101">
        <f t="shared" si="2"/>
        <v>0</v>
      </c>
      <c r="H166" s="52"/>
      <c r="I166" s="52"/>
      <c r="J166" s="28"/>
      <c r="K166" s="29"/>
    </row>
    <row r="167" spans="1:11" ht="18.75" customHeight="1" x14ac:dyDescent="0.3">
      <c r="A167" s="57" t="s">
        <v>329</v>
      </c>
      <c r="B167" s="52"/>
      <c r="C167" s="58">
        <f>29+30+30+30+31+31+31+32</f>
        <v>244</v>
      </c>
      <c r="D167" s="52"/>
      <c r="E167" s="8"/>
      <c r="F167" s="52"/>
      <c r="G167" s="101">
        <f t="shared" si="2"/>
        <v>0</v>
      </c>
      <c r="H167" s="52"/>
      <c r="I167" s="52"/>
      <c r="J167" s="28"/>
      <c r="K167" s="29"/>
    </row>
    <row r="168" spans="1:11" ht="18.75" customHeight="1" x14ac:dyDescent="0.3">
      <c r="A168" s="57" t="s">
        <v>330</v>
      </c>
      <c r="B168" s="52"/>
      <c r="C168" s="58">
        <v>10</v>
      </c>
      <c r="D168" s="52"/>
      <c r="E168" s="8"/>
      <c r="F168" s="52"/>
      <c r="G168" s="101">
        <f t="shared" si="2"/>
        <v>0</v>
      </c>
      <c r="H168" s="52"/>
      <c r="I168" s="52"/>
      <c r="J168" s="28"/>
      <c r="K168" s="29"/>
    </row>
    <row r="169" spans="1:11" ht="18.75" customHeight="1" x14ac:dyDescent="0.3">
      <c r="A169" s="57" t="s">
        <v>331</v>
      </c>
      <c r="B169" s="52"/>
      <c r="C169" s="58">
        <f>15+15+15+15+15+15+15+15+15+15+15+15</f>
        <v>180</v>
      </c>
      <c r="D169" s="52"/>
      <c r="E169" s="8"/>
      <c r="F169" s="52"/>
      <c r="G169" s="101">
        <f t="shared" si="2"/>
        <v>0</v>
      </c>
      <c r="H169" s="52"/>
      <c r="I169" s="52"/>
      <c r="J169" s="28"/>
      <c r="K169" s="29"/>
    </row>
    <row r="170" spans="1:11" ht="18.75" customHeight="1" x14ac:dyDescent="0.3">
      <c r="A170" s="57" t="s">
        <v>332</v>
      </c>
      <c r="B170" s="52"/>
      <c r="C170" s="58">
        <v>30</v>
      </c>
      <c r="D170" s="52"/>
      <c r="E170" s="8"/>
      <c r="F170" s="52"/>
      <c r="G170" s="101">
        <f t="shared" si="2"/>
        <v>0</v>
      </c>
      <c r="H170" s="52"/>
      <c r="I170" s="52"/>
      <c r="J170" s="28"/>
      <c r="K170" s="29"/>
    </row>
    <row r="171" spans="1:11" ht="18.75" customHeight="1" x14ac:dyDescent="0.3">
      <c r="A171" s="57" t="s">
        <v>333</v>
      </c>
      <c r="B171" s="52"/>
      <c r="C171" s="58">
        <f>5+24+26+29+29+30+30+31+31+31+32+35</f>
        <v>333</v>
      </c>
      <c r="D171" s="52"/>
      <c r="E171" s="8"/>
      <c r="F171" s="52"/>
      <c r="G171" s="101">
        <f t="shared" si="2"/>
        <v>0</v>
      </c>
      <c r="H171" s="52"/>
      <c r="I171" s="52"/>
      <c r="J171" s="28"/>
      <c r="K171" s="29"/>
    </row>
    <row r="172" spans="1:11" ht="18.75" customHeight="1" x14ac:dyDescent="0.3">
      <c r="A172" s="57" t="s">
        <v>334</v>
      </c>
      <c r="B172" s="52"/>
      <c r="C172" s="58">
        <v>5</v>
      </c>
      <c r="D172" s="52"/>
      <c r="E172" s="8"/>
      <c r="F172" s="52"/>
      <c r="G172" s="101">
        <f t="shared" si="2"/>
        <v>0</v>
      </c>
      <c r="H172" s="52"/>
      <c r="I172" s="52"/>
      <c r="J172" s="28"/>
      <c r="K172" s="29"/>
    </row>
    <row r="173" spans="1:11" ht="18.75" customHeight="1" x14ac:dyDescent="0.3">
      <c r="A173" s="57" t="s">
        <v>335</v>
      </c>
      <c r="B173" s="52"/>
      <c r="C173" s="58">
        <f>25+30+31</f>
        <v>86</v>
      </c>
      <c r="D173" s="52"/>
      <c r="E173" s="8"/>
      <c r="F173" s="52"/>
      <c r="G173" s="101">
        <f t="shared" si="2"/>
        <v>0</v>
      </c>
      <c r="H173" s="52"/>
      <c r="I173" s="52"/>
      <c r="J173" s="28"/>
      <c r="K173" s="29"/>
    </row>
    <row r="174" spans="1:11" ht="18.75" customHeight="1" x14ac:dyDescent="0.3">
      <c r="A174" s="57" t="s">
        <v>336</v>
      </c>
      <c r="B174" s="52"/>
      <c r="C174" s="58">
        <f>1+5+24+60+26+29+29+30+30+30+30+31+32+33+33+18+85+45+45+46+56+60+60+62+78+84+90+87</f>
        <v>1239</v>
      </c>
      <c r="D174" s="52"/>
      <c r="E174" s="8"/>
      <c r="F174" s="52"/>
      <c r="G174" s="101">
        <f t="shared" si="2"/>
        <v>0</v>
      </c>
      <c r="H174" s="52"/>
      <c r="I174" s="52"/>
      <c r="J174" s="28"/>
      <c r="K174" s="29"/>
    </row>
    <row r="175" spans="1:11" ht="18.75" customHeight="1" x14ac:dyDescent="0.3">
      <c r="A175" s="57" t="s">
        <v>337</v>
      </c>
      <c r="B175" s="52"/>
      <c r="C175" s="58">
        <f>52+54+77</f>
        <v>183</v>
      </c>
      <c r="D175" s="52"/>
      <c r="E175" s="8"/>
      <c r="F175" s="52"/>
      <c r="G175" s="101">
        <f t="shared" si="2"/>
        <v>0</v>
      </c>
      <c r="H175" s="52"/>
      <c r="I175" s="52"/>
      <c r="J175" s="28"/>
      <c r="K175" s="29"/>
    </row>
    <row r="176" spans="1:11" ht="18.75" customHeight="1" x14ac:dyDescent="0.3">
      <c r="A176" s="57" t="s">
        <v>338</v>
      </c>
      <c r="B176" s="52"/>
      <c r="C176" s="58">
        <f>1+1+1+1+2+30+30+30+30</f>
        <v>126</v>
      </c>
      <c r="D176" s="52"/>
      <c r="E176" s="8"/>
      <c r="F176" s="52"/>
      <c r="G176" s="101">
        <f t="shared" si="2"/>
        <v>0</v>
      </c>
      <c r="H176" s="52"/>
      <c r="I176" s="52"/>
      <c r="J176" s="28"/>
      <c r="K176" s="29"/>
    </row>
    <row r="177" spans="1:11" ht="18.75" customHeight="1" x14ac:dyDescent="0.3">
      <c r="A177" s="57" t="s">
        <v>339</v>
      </c>
      <c r="B177" s="52"/>
      <c r="C177" s="58">
        <v>2</v>
      </c>
      <c r="D177" s="52"/>
      <c r="E177" s="8"/>
      <c r="F177" s="52"/>
      <c r="G177" s="101">
        <f t="shared" si="2"/>
        <v>0</v>
      </c>
      <c r="H177" s="52"/>
      <c r="I177" s="52"/>
      <c r="J177" s="28"/>
      <c r="K177" s="29"/>
    </row>
    <row r="178" spans="1:11" ht="18.75" customHeight="1" x14ac:dyDescent="0.3">
      <c r="A178" s="57" t="s">
        <v>340</v>
      </c>
      <c r="B178" s="52"/>
      <c r="C178" s="58">
        <f>2+34+1+1+1+1+1+12+5+7+12+5+9+12+12+12+30+30+30+30</f>
        <v>247</v>
      </c>
      <c r="D178" s="52"/>
      <c r="E178" s="8"/>
      <c r="F178" s="52"/>
      <c r="G178" s="101">
        <f t="shared" si="2"/>
        <v>0</v>
      </c>
      <c r="H178" s="52"/>
      <c r="I178" s="52"/>
      <c r="J178" s="28"/>
      <c r="K178" s="29"/>
    </row>
    <row r="179" spans="1:11" ht="18.75" customHeight="1" x14ac:dyDescent="0.3">
      <c r="A179" s="57" t="s">
        <v>341</v>
      </c>
      <c r="B179" s="52"/>
      <c r="C179" s="58">
        <f>9+9+29+25+31+31+24+30+30+30+31+30+31+31+29+29+30+31+28+28+30+31+32+29+29+29+30+30+31+31+31+31+31+31+31+31+31+32+32+32</f>
        <v>1161</v>
      </c>
      <c r="D179" s="52"/>
      <c r="E179" s="8"/>
      <c r="F179" s="52"/>
      <c r="G179" s="101">
        <f t="shared" si="2"/>
        <v>0</v>
      </c>
      <c r="H179" s="52"/>
      <c r="I179" s="52"/>
      <c r="J179" s="28"/>
      <c r="K179" s="29"/>
    </row>
    <row r="180" spans="1:11" ht="18.75" customHeight="1" x14ac:dyDescent="0.3">
      <c r="A180" s="57" t="s">
        <v>342</v>
      </c>
      <c r="B180" s="52"/>
      <c r="C180" s="58">
        <f>28+16+30+30+30+30+31+31+28+30+29+31+30+31+31+32+28+30+28+28+28+30+31+31+62+63+61+61+61+62+64</f>
        <v>1136</v>
      </c>
      <c r="D180" s="52"/>
      <c r="E180" s="8"/>
      <c r="F180" s="52"/>
      <c r="G180" s="101">
        <f t="shared" si="2"/>
        <v>0</v>
      </c>
      <c r="H180" s="52"/>
      <c r="I180" s="52"/>
      <c r="J180" s="28"/>
      <c r="K180" s="29"/>
    </row>
    <row r="181" spans="1:11" ht="18.75" customHeight="1" x14ac:dyDescent="0.3">
      <c r="A181" s="57" t="s">
        <v>343</v>
      </c>
      <c r="B181" s="52"/>
      <c r="C181" s="58">
        <f>1+1+3+3+5+5</f>
        <v>18</v>
      </c>
      <c r="D181" s="52"/>
      <c r="E181" s="8"/>
      <c r="F181" s="52"/>
      <c r="G181" s="101">
        <f t="shared" si="2"/>
        <v>0</v>
      </c>
      <c r="H181" s="52"/>
      <c r="I181" s="52"/>
      <c r="J181" s="28"/>
      <c r="K181" s="29"/>
    </row>
    <row r="182" spans="1:11" ht="18.75" customHeight="1" x14ac:dyDescent="0.3">
      <c r="A182" s="57" t="s">
        <v>344</v>
      </c>
      <c r="B182" s="52"/>
      <c r="C182" s="58">
        <f>41+52+52+59+56+63+62+61+69+84+93+89+87+90+92+93+93+94+100</f>
        <v>1430</v>
      </c>
      <c r="D182" s="52"/>
      <c r="E182" s="8"/>
      <c r="F182" s="52"/>
      <c r="G182" s="101">
        <f t="shared" si="2"/>
        <v>0</v>
      </c>
      <c r="H182" s="52"/>
      <c r="I182" s="52"/>
      <c r="J182" s="28"/>
      <c r="K182" s="29"/>
    </row>
    <row r="183" spans="1:11" ht="18.75" customHeight="1" x14ac:dyDescent="0.3">
      <c r="A183" s="57" t="s">
        <v>345</v>
      </c>
      <c r="B183" s="52"/>
      <c r="C183" s="58">
        <f>10+32</f>
        <v>42</v>
      </c>
      <c r="D183" s="52"/>
      <c r="E183" s="8"/>
      <c r="F183" s="52"/>
      <c r="G183" s="101">
        <f t="shared" si="2"/>
        <v>0</v>
      </c>
      <c r="H183" s="52"/>
      <c r="I183" s="52"/>
      <c r="J183" s="28"/>
      <c r="K183" s="29"/>
    </row>
    <row r="184" spans="1:11" ht="18.75" customHeight="1" x14ac:dyDescent="0.3">
      <c r="A184" s="57" t="s">
        <v>346</v>
      </c>
      <c r="B184" s="52"/>
      <c r="C184" s="58">
        <v>30</v>
      </c>
      <c r="D184" s="52"/>
      <c r="E184" s="8"/>
      <c r="F184" s="52"/>
      <c r="G184" s="101">
        <f t="shared" si="2"/>
        <v>0</v>
      </c>
      <c r="H184" s="52"/>
      <c r="I184" s="52"/>
      <c r="J184" s="28"/>
      <c r="K184" s="29"/>
    </row>
    <row r="185" spans="1:11" ht="18.75" customHeight="1" x14ac:dyDescent="0.3">
      <c r="A185" s="57" t="s">
        <v>347</v>
      </c>
      <c r="B185" s="52"/>
      <c r="C185" s="58">
        <f>4+56</f>
        <v>60</v>
      </c>
      <c r="D185" s="52"/>
      <c r="E185" s="8"/>
      <c r="F185" s="52"/>
      <c r="G185" s="101">
        <f t="shared" si="2"/>
        <v>0</v>
      </c>
      <c r="H185" s="52"/>
      <c r="I185" s="52"/>
      <c r="J185" s="28"/>
      <c r="K185" s="29"/>
    </row>
    <row r="186" spans="1:11" ht="18.75" customHeight="1" x14ac:dyDescent="0.3">
      <c r="A186" s="57" t="s">
        <v>348</v>
      </c>
      <c r="B186" s="52"/>
      <c r="C186" s="58">
        <f>29+17+23+26+28+29+29+29+31+30+44+59+56+60+60+60+62+61+61+62+62+62+62+14+21+21+28+31+30+31+55+62+60+63</f>
        <v>1458</v>
      </c>
      <c r="D186" s="52"/>
      <c r="E186" s="8"/>
      <c r="F186" s="52"/>
      <c r="G186" s="101">
        <f t="shared" si="2"/>
        <v>0</v>
      </c>
      <c r="H186" s="52"/>
      <c r="I186" s="52"/>
      <c r="J186" s="28"/>
      <c r="K186" s="29"/>
    </row>
    <row r="187" spans="1:11" ht="18.75" customHeight="1" x14ac:dyDescent="0.3">
      <c r="A187" s="57" t="s">
        <v>349</v>
      </c>
      <c r="B187" s="52"/>
      <c r="C187" s="58">
        <v>60</v>
      </c>
      <c r="D187" s="52"/>
      <c r="E187" s="8"/>
      <c r="F187" s="52"/>
      <c r="G187" s="101">
        <f t="shared" si="2"/>
        <v>0</v>
      </c>
      <c r="H187" s="52"/>
      <c r="I187" s="52"/>
      <c r="J187" s="28"/>
      <c r="K187" s="29"/>
    </row>
    <row r="188" spans="1:11" ht="18.75" customHeight="1" x14ac:dyDescent="0.3">
      <c r="A188" s="57" t="s">
        <v>350</v>
      </c>
      <c r="B188" s="52"/>
      <c r="C188" s="58">
        <f>13+7+21+30</f>
        <v>71</v>
      </c>
      <c r="D188" s="52"/>
      <c r="E188" s="8"/>
      <c r="F188" s="52"/>
      <c r="G188" s="101">
        <f t="shared" si="2"/>
        <v>0</v>
      </c>
      <c r="H188" s="52"/>
      <c r="I188" s="52"/>
      <c r="J188" s="28"/>
      <c r="K188" s="29"/>
    </row>
    <row r="189" spans="1:11" ht="18.75" customHeight="1" x14ac:dyDescent="0.3">
      <c r="A189" s="57" t="s">
        <v>351</v>
      </c>
      <c r="B189" s="52"/>
      <c r="C189" s="58">
        <v>0.5</v>
      </c>
      <c r="D189" s="52"/>
      <c r="E189" s="8"/>
      <c r="F189" s="52"/>
      <c r="G189" s="101">
        <f t="shared" si="2"/>
        <v>0</v>
      </c>
      <c r="H189" s="52"/>
      <c r="I189" s="52"/>
      <c r="J189" s="28"/>
      <c r="K189" s="29"/>
    </row>
    <row r="190" spans="1:11" ht="18.75" customHeight="1" x14ac:dyDescent="0.3">
      <c r="A190" s="57" t="s">
        <v>352</v>
      </c>
      <c r="B190" s="52"/>
      <c r="C190" s="58">
        <f>527+527+527+527+527+527+527+527+527+527+17918+17918+527</f>
        <v>41633</v>
      </c>
      <c r="D190" s="52"/>
      <c r="E190" s="8"/>
      <c r="F190" s="52"/>
      <c r="G190" s="101">
        <f t="shared" si="2"/>
        <v>0</v>
      </c>
      <c r="H190" s="52"/>
      <c r="I190" s="52"/>
      <c r="J190" s="28"/>
      <c r="K190" s="29"/>
    </row>
    <row r="191" spans="1:11" ht="18.75" customHeight="1" x14ac:dyDescent="0.3">
      <c r="A191" s="57" t="s">
        <v>183</v>
      </c>
      <c r="B191" s="52"/>
      <c r="C191" s="58">
        <v>20</v>
      </c>
      <c r="D191" s="52"/>
      <c r="E191" s="8"/>
      <c r="F191" s="52"/>
      <c r="G191" s="101">
        <f t="shared" si="2"/>
        <v>0</v>
      </c>
      <c r="H191" s="52"/>
      <c r="I191" s="52"/>
      <c r="J191" s="28"/>
      <c r="K191" s="29"/>
    </row>
    <row r="192" spans="1:11" ht="18.75" customHeight="1" x14ac:dyDescent="0.3">
      <c r="A192" s="57" t="s">
        <v>353</v>
      </c>
      <c r="B192" s="52"/>
      <c r="C192" s="58">
        <f>56</f>
        <v>56</v>
      </c>
      <c r="D192" s="52"/>
      <c r="E192" s="8"/>
      <c r="F192" s="52"/>
      <c r="G192" s="101">
        <f t="shared" si="2"/>
        <v>0</v>
      </c>
      <c r="H192" s="52"/>
      <c r="I192" s="52"/>
      <c r="J192" s="28"/>
      <c r="K192" s="29"/>
    </row>
    <row r="193" spans="1:11" ht="18.75" customHeight="1" x14ac:dyDescent="0.3">
      <c r="A193" s="57" t="s">
        <v>354</v>
      </c>
      <c r="B193" s="52"/>
      <c r="C193" s="58">
        <v>1</v>
      </c>
      <c r="D193" s="52"/>
      <c r="E193" s="8"/>
      <c r="F193" s="52"/>
      <c r="G193" s="101">
        <f t="shared" si="2"/>
        <v>0</v>
      </c>
      <c r="H193" s="52"/>
      <c r="I193" s="52"/>
      <c r="J193" s="28"/>
      <c r="K193" s="29"/>
    </row>
    <row r="194" spans="1:11" ht="18.75" customHeight="1" x14ac:dyDescent="0.3">
      <c r="A194" s="57" t="s">
        <v>355</v>
      </c>
      <c r="B194" s="52"/>
      <c r="C194" s="58">
        <f>8.5+8.5+8.5+8.5</f>
        <v>34</v>
      </c>
      <c r="D194" s="52"/>
      <c r="E194" s="8"/>
      <c r="F194" s="52"/>
      <c r="G194" s="101">
        <f t="shared" si="2"/>
        <v>0</v>
      </c>
      <c r="H194" s="52"/>
      <c r="I194" s="52"/>
      <c r="J194" s="28"/>
      <c r="K194" s="29"/>
    </row>
    <row r="195" spans="1:11" ht="18.75" customHeight="1" x14ac:dyDescent="0.3">
      <c r="A195" s="57" t="s">
        <v>356</v>
      </c>
      <c r="B195" s="52"/>
      <c r="C195" s="58">
        <f>1+2+3+14</f>
        <v>20</v>
      </c>
      <c r="D195" s="52"/>
      <c r="E195" s="8"/>
      <c r="F195" s="52"/>
      <c r="G195" s="101">
        <f t="shared" si="2"/>
        <v>0</v>
      </c>
      <c r="H195" s="52"/>
      <c r="I195" s="52"/>
      <c r="J195" s="28"/>
      <c r="K195" s="29"/>
    </row>
    <row r="196" spans="1:11" ht="18.75" customHeight="1" x14ac:dyDescent="0.3">
      <c r="A196" s="57" t="s">
        <v>357</v>
      </c>
      <c r="B196" s="52"/>
      <c r="C196" s="58">
        <f>15+18+59+59+61+62+73+80+30+27+44+49+49+80+54+60+59+61+61+61+62+62+62+67+74+43+57+62+58</f>
        <v>1609</v>
      </c>
      <c r="D196" s="52"/>
      <c r="E196" s="8"/>
      <c r="F196" s="52"/>
      <c r="G196" s="101">
        <f t="shared" si="2"/>
        <v>0</v>
      </c>
      <c r="H196" s="52"/>
      <c r="I196" s="52"/>
      <c r="J196" s="28"/>
      <c r="K196" s="29"/>
    </row>
    <row r="197" spans="1:11" ht="18.75" customHeight="1" x14ac:dyDescent="0.3">
      <c r="A197" s="57" t="s">
        <v>358</v>
      </c>
      <c r="B197" s="52"/>
      <c r="C197" s="58">
        <f>86+91+114+40+47+55+55+59+61+62</f>
        <v>670</v>
      </c>
      <c r="D197" s="52"/>
      <c r="E197" s="8"/>
      <c r="F197" s="52"/>
      <c r="G197" s="101">
        <f t="shared" si="2"/>
        <v>0</v>
      </c>
      <c r="H197" s="52"/>
      <c r="I197" s="52"/>
      <c r="J197" s="28"/>
      <c r="K197" s="29"/>
    </row>
    <row r="198" spans="1:11" ht="18.75" customHeight="1" x14ac:dyDescent="0.3">
      <c r="A198" s="57" t="s">
        <v>359</v>
      </c>
      <c r="B198" s="52"/>
      <c r="C198" s="58">
        <f>18+20+28+29+29+30+31+31+32</f>
        <v>248</v>
      </c>
      <c r="D198" s="52"/>
      <c r="E198" s="8"/>
      <c r="F198" s="52"/>
      <c r="G198" s="101">
        <f t="shared" si="2"/>
        <v>0</v>
      </c>
      <c r="H198" s="52"/>
      <c r="I198" s="52"/>
      <c r="J198" s="28"/>
      <c r="K198" s="29"/>
    </row>
    <row r="199" spans="1:11" ht="18.75" customHeight="1" x14ac:dyDescent="0.3">
      <c r="A199" s="57" t="s">
        <v>360</v>
      </c>
      <c r="B199" s="52"/>
      <c r="C199" s="58">
        <f>20+32+25+28+26+28+31+30+30+31+29+29+31+31+30+30+30+31+31+31+31+31+30</f>
        <v>676</v>
      </c>
      <c r="D199" s="52"/>
      <c r="E199" s="8"/>
      <c r="F199" s="52"/>
      <c r="G199" s="101">
        <f t="shared" si="2"/>
        <v>0</v>
      </c>
      <c r="H199" s="52"/>
      <c r="I199" s="52"/>
      <c r="J199" s="28"/>
      <c r="K199" s="29"/>
    </row>
    <row r="200" spans="1:11" ht="18.75" customHeight="1" x14ac:dyDescent="0.3">
      <c r="A200" s="57" t="s">
        <v>361</v>
      </c>
      <c r="B200" s="52"/>
      <c r="C200" s="58">
        <f>9+21+23+23+23+28+30+31+31+31+31+31+31+33+24+25+28+29+30+30+30+29+31+30+31+31+31+31+30+31+30+31+30+31+32</f>
        <v>1001</v>
      </c>
      <c r="D200" s="52"/>
      <c r="E200" s="8"/>
      <c r="F200" s="52"/>
      <c r="G200" s="101">
        <f t="shared" si="2"/>
        <v>0</v>
      </c>
      <c r="H200" s="52"/>
      <c r="I200" s="52"/>
      <c r="J200" s="28"/>
      <c r="K200" s="29"/>
    </row>
    <row r="201" spans="1:11" ht="18.75" customHeight="1" x14ac:dyDescent="0.3">
      <c r="A201" s="57" t="s">
        <v>362</v>
      </c>
      <c r="B201" s="52"/>
      <c r="C201" s="58">
        <f>9+33+34+59</f>
        <v>135</v>
      </c>
      <c r="D201" s="52"/>
      <c r="E201" s="8"/>
      <c r="F201" s="52"/>
      <c r="G201" s="101">
        <f t="shared" si="2"/>
        <v>0</v>
      </c>
      <c r="H201" s="52"/>
      <c r="I201" s="52"/>
      <c r="J201" s="28"/>
      <c r="K201" s="29"/>
    </row>
    <row r="202" spans="1:11" ht="18.75" customHeight="1" x14ac:dyDescent="0.3">
      <c r="A202" s="57" t="s">
        <v>363</v>
      </c>
      <c r="B202" s="52"/>
      <c r="C202" s="58">
        <f>13+29+17+21+28+28+29+30+30+31+31+9+32+32+10+16+21+48+42+27+26+43+24+30+30+31+31+31+31+30+31+31+30+31+29+30+32+58+50+60+43+58+48+59+57+61+61+62+62+62+61+62+60+62+62+58+62+62+60+74+74+116+116+116+120+120+120+124+30</f>
        <v>3345</v>
      </c>
      <c r="D202" s="52"/>
      <c r="E202" s="8"/>
      <c r="F202" s="52"/>
      <c r="G202" s="101">
        <f t="shared" si="2"/>
        <v>0</v>
      </c>
      <c r="H202" s="52"/>
      <c r="I202" s="52"/>
      <c r="J202" s="28"/>
      <c r="K202" s="29"/>
    </row>
    <row r="203" spans="1:11" ht="18.75" customHeight="1" x14ac:dyDescent="0.3">
      <c r="A203" s="57" t="s">
        <v>364</v>
      </c>
      <c r="B203" s="52"/>
      <c r="C203" s="58">
        <f>1+15+15+24+19+21+21+11+31+29+13+15+16+31+14+14+15+17+26+31+18+28+26+30+23+24+28+28+32+31+30+32+27+30+32+29+29+30+34+32+31+29+31+30+31+31+29+30+30+45+31+32+34+46+60+43+61+61+44+57+47+60+60+62+49+63+59+60+62+55+59+57+60+61+62+62+62+61+62+62+62+62</f>
        <v>3047</v>
      </c>
      <c r="D203" s="52"/>
      <c r="E203" s="8"/>
      <c r="F203" s="52"/>
      <c r="G203" s="101">
        <f t="shared" si="2"/>
        <v>0</v>
      </c>
      <c r="H203" s="52"/>
      <c r="I203" s="52"/>
      <c r="J203" s="28"/>
      <c r="K203" s="29"/>
    </row>
    <row r="204" spans="1:11" ht="18.75" customHeight="1" x14ac:dyDescent="0.3">
      <c r="A204" s="57" t="s">
        <v>365</v>
      </c>
      <c r="B204" s="52"/>
      <c r="C204" s="58">
        <f>1+9+15+16+18+19+22+28+13+31+29+24+23+23+27+31+29+29+29+29+29+30+31+31+31+31+31+31+31+31+31+32+33+50+40+35+40+36+38+38+56+57+46+61+60+62+60+60+62+62+60+60+62+55+58+60+47+62+50+52+60+62+56+56+58+58+58+58+59+59+59+60+60+60+60+62+62+61+61+61+61+61+62+62+62+62+62+62+63+63+63+63+64</f>
        <v>4277</v>
      </c>
      <c r="D204" s="52"/>
      <c r="E204" s="8"/>
      <c r="F204" s="52"/>
      <c r="G204" s="101">
        <f t="shared" ref="G204:G244" si="3">C204*E204</f>
        <v>0</v>
      </c>
      <c r="H204" s="52"/>
      <c r="I204" s="52"/>
      <c r="J204" s="28"/>
      <c r="K204" s="29"/>
    </row>
    <row r="205" spans="1:11" ht="18.75" customHeight="1" x14ac:dyDescent="0.3">
      <c r="A205" s="57" t="s">
        <v>366</v>
      </c>
      <c r="B205" s="52"/>
      <c r="C205" s="58">
        <f>30+48+42+58+60+59+62+50+60+62+44+46+56+58+60+61+60+65+61+61+62+61+63</f>
        <v>1289</v>
      </c>
      <c r="D205" s="52"/>
      <c r="E205" s="8"/>
      <c r="F205" s="52"/>
      <c r="G205" s="101">
        <f t="shared" si="3"/>
        <v>0</v>
      </c>
      <c r="H205" s="52"/>
      <c r="I205" s="52"/>
      <c r="J205" s="28"/>
      <c r="K205" s="29"/>
    </row>
    <row r="206" spans="1:11" ht="18.75" customHeight="1" x14ac:dyDescent="0.3">
      <c r="A206" s="57" t="s">
        <v>368</v>
      </c>
      <c r="B206" s="52"/>
      <c r="C206" s="58">
        <f>8+6</f>
        <v>14</v>
      </c>
      <c r="D206" s="52"/>
      <c r="E206" s="8"/>
      <c r="F206" s="52"/>
      <c r="G206" s="101">
        <f t="shared" si="3"/>
        <v>0</v>
      </c>
      <c r="H206" s="52"/>
      <c r="I206" s="52"/>
      <c r="J206" s="28"/>
      <c r="K206" s="29"/>
    </row>
    <row r="207" spans="1:11" ht="18.75" customHeight="1" x14ac:dyDescent="0.3">
      <c r="A207" s="57" t="s">
        <v>367</v>
      </c>
      <c r="B207" s="52"/>
      <c r="C207" s="58">
        <f>1+18+39+55+46+48+55+61+61+20+22+24+26+29+31+27+32+45+56+62+61+52+61+55+62+61+59+64+60+60+62+61+76</f>
        <v>1552</v>
      </c>
      <c r="D207" s="52"/>
      <c r="E207" s="8"/>
      <c r="F207" s="52"/>
      <c r="G207" s="101">
        <f t="shared" si="3"/>
        <v>0</v>
      </c>
      <c r="H207" s="52"/>
      <c r="I207" s="52"/>
      <c r="J207" s="28"/>
      <c r="K207" s="29"/>
    </row>
    <row r="208" spans="1:11" ht="18.75" customHeight="1" x14ac:dyDescent="0.3">
      <c r="A208" s="57" t="s">
        <v>369</v>
      </c>
      <c r="B208" s="52"/>
      <c r="C208" s="58">
        <f>3+56+59+62+38+48+58+62+61+60+63</f>
        <v>570</v>
      </c>
      <c r="D208" s="52"/>
      <c r="E208" s="8"/>
      <c r="F208" s="52"/>
      <c r="G208" s="101">
        <f t="shared" si="3"/>
        <v>0</v>
      </c>
      <c r="H208" s="52"/>
      <c r="I208" s="52"/>
      <c r="J208" s="28"/>
      <c r="K208" s="29"/>
    </row>
    <row r="209" spans="1:11" ht="18.75" customHeight="1" x14ac:dyDescent="0.3">
      <c r="A209" s="57" t="s">
        <v>370</v>
      </c>
      <c r="B209" s="52"/>
      <c r="C209" s="58">
        <f>39+44+56+58+59+60+61+62+62+32+37+47+63+53+60+62+63+59+62</f>
        <v>1039</v>
      </c>
      <c r="D209" s="52"/>
      <c r="E209" s="8"/>
      <c r="F209" s="52"/>
      <c r="G209" s="101">
        <f t="shared" si="3"/>
        <v>0</v>
      </c>
      <c r="H209" s="52"/>
      <c r="I209" s="52"/>
      <c r="J209" s="28"/>
      <c r="K209" s="29"/>
    </row>
    <row r="210" spans="1:11" ht="18.75" customHeight="1" x14ac:dyDescent="0.3">
      <c r="A210" s="57" t="s">
        <v>371</v>
      </c>
      <c r="B210" s="52"/>
      <c r="C210" s="58">
        <f>44+61+46+59+57+58+64</f>
        <v>389</v>
      </c>
      <c r="D210" s="52"/>
      <c r="E210" s="8"/>
      <c r="F210" s="52"/>
      <c r="G210" s="101">
        <f t="shared" si="3"/>
        <v>0</v>
      </c>
      <c r="H210" s="52"/>
      <c r="I210" s="52"/>
      <c r="J210" s="28"/>
      <c r="K210" s="29"/>
    </row>
    <row r="211" spans="1:11" ht="18.75" customHeight="1" x14ac:dyDescent="0.3">
      <c r="A211" s="57" t="s">
        <v>372</v>
      </c>
      <c r="B211" s="52"/>
      <c r="C211" s="58">
        <f>28+28+28+28+28+28+28+28+28</f>
        <v>252</v>
      </c>
      <c r="D211" s="52"/>
      <c r="E211" s="8"/>
      <c r="F211" s="52"/>
      <c r="G211" s="101">
        <f t="shared" si="3"/>
        <v>0</v>
      </c>
      <c r="H211" s="52"/>
      <c r="I211" s="52"/>
      <c r="J211" s="28"/>
      <c r="K211" s="29"/>
    </row>
    <row r="212" spans="1:11" ht="18.75" customHeight="1" x14ac:dyDescent="0.3">
      <c r="A212" s="57" t="s">
        <v>373</v>
      </c>
      <c r="B212" s="52"/>
      <c r="C212" s="58">
        <f>476+28</f>
        <v>504</v>
      </c>
      <c r="D212" s="52"/>
      <c r="E212" s="8"/>
      <c r="F212" s="52"/>
      <c r="G212" s="101">
        <f t="shared" si="3"/>
        <v>0</v>
      </c>
      <c r="H212" s="52"/>
      <c r="I212" s="52"/>
      <c r="J212" s="28"/>
      <c r="K212" s="29"/>
    </row>
    <row r="213" spans="1:11" ht="18.75" customHeight="1" x14ac:dyDescent="0.3">
      <c r="A213" s="57" t="s">
        <v>374</v>
      </c>
      <c r="B213" s="52"/>
      <c r="C213" s="58">
        <v>30</v>
      </c>
      <c r="D213" s="52"/>
      <c r="E213" s="8"/>
      <c r="F213" s="52"/>
      <c r="G213" s="101">
        <f t="shared" si="3"/>
        <v>0</v>
      </c>
      <c r="H213" s="52"/>
      <c r="I213" s="52"/>
      <c r="J213" s="28"/>
      <c r="K213" s="29"/>
    </row>
    <row r="214" spans="1:11" ht="18.75" customHeight="1" x14ac:dyDescent="0.3">
      <c r="A214" s="57" t="s">
        <v>375</v>
      </c>
      <c r="B214" s="52"/>
      <c r="C214" s="58">
        <f>480</f>
        <v>480</v>
      </c>
      <c r="D214" s="52"/>
      <c r="E214" s="8"/>
      <c r="F214" s="52"/>
      <c r="G214" s="101">
        <f t="shared" si="3"/>
        <v>0</v>
      </c>
      <c r="H214" s="52"/>
      <c r="I214" s="52"/>
      <c r="J214" s="28"/>
      <c r="K214" s="29"/>
    </row>
    <row r="215" spans="1:11" ht="18.75" customHeight="1" x14ac:dyDescent="0.3">
      <c r="A215" s="57" t="s">
        <v>376</v>
      </c>
      <c r="B215" s="52"/>
      <c r="C215" s="58">
        <f>14+21+25+16+63+18+24+32+44+56+56+59+60+61+61+61+62+62+62+63+21+28+28+30+32+45+61+56+60+60+61+61+60+60+62+62+63</f>
        <v>1770</v>
      </c>
      <c r="D215" s="52"/>
      <c r="E215" s="8"/>
      <c r="F215" s="52"/>
      <c r="G215" s="101">
        <f t="shared" si="3"/>
        <v>0</v>
      </c>
      <c r="H215" s="52"/>
      <c r="I215" s="52"/>
      <c r="J215" s="28"/>
      <c r="K215" s="29"/>
    </row>
    <row r="216" spans="1:11" ht="18.75" customHeight="1" x14ac:dyDescent="0.3">
      <c r="A216" s="57" t="s">
        <v>377</v>
      </c>
      <c r="B216" s="52"/>
      <c r="C216" s="58">
        <f>14+32+9+14+23+25+28+29+29+30+31+31+31+31+31+31+32+46+56+58+59+60+61+62+62+62+62+67</f>
        <v>1106</v>
      </c>
      <c r="D216" s="52"/>
      <c r="E216" s="8"/>
      <c r="F216" s="52"/>
      <c r="G216" s="101">
        <f t="shared" si="3"/>
        <v>0</v>
      </c>
      <c r="H216" s="52"/>
      <c r="I216" s="52"/>
      <c r="J216" s="28"/>
      <c r="K216" s="29"/>
    </row>
    <row r="217" spans="1:11" ht="18.75" customHeight="1" x14ac:dyDescent="0.3">
      <c r="A217" s="57" t="s">
        <v>378</v>
      </c>
      <c r="B217" s="52"/>
      <c r="C217" s="58">
        <f>14+15+22+20+19+62+29+57+45+46+46+54+50+60+61+57+56+62+62+61+59+62+58+58+63+59+59+59+62+62+62+60+60+60+60+60+60+62+61+62+62+62+67</f>
        <v>2297</v>
      </c>
      <c r="D217" s="52"/>
      <c r="E217" s="8"/>
      <c r="F217" s="52"/>
      <c r="G217" s="101">
        <f t="shared" si="3"/>
        <v>0</v>
      </c>
      <c r="H217" s="52"/>
      <c r="I217" s="52"/>
      <c r="J217" s="28"/>
      <c r="K217" s="29"/>
    </row>
    <row r="218" spans="1:11" ht="18.75" customHeight="1" x14ac:dyDescent="0.3">
      <c r="A218" s="57" t="s">
        <v>379</v>
      </c>
      <c r="B218" s="52"/>
      <c r="C218" s="58">
        <v>20</v>
      </c>
      <c r="D218" s="52"/>
      <c r="E218" s="8"/>
      <c r="F218" s="52"/>
      <c r="G218" s="101">
        <f t="shared" si="3"/>
        <v>0</v>
      </c>
      <c r="H218" s="52"/>
      <c r="I218" s="52"/>
      <c r="J218" s="28"/>
      <c r="K218" s="29"/>
    </row>
    <row r="219" spans="1:11" ht="18.75" customHeight="1" x14ac:dyDescent="0.3">
      <c r="A219" s="57" t="s">
        <v>380</v>
      </c>
      <c r="B219" s="52"/>
      <c r="C219" s="58">
        <f>12+12+6+12</f>
        <v>42</v>
      </c>
      <c r="D219" s="52"/>
      <c r="E219" s="8"/>
      <c r="F219" s="52"/>
      <c r="G219" s="101">
        <f t="shared" si="3"/>
        <v>0</v>
      </c>
      <c r="H219" s="52"/>
      <c r="I219" s="52"/>
      <c r="J219" s="28"/>
      <c r="K219" s="29"/>
    </row>
    <row r="220" spans="1:11" ht="18.75" customHeight="1" x14ac:dyDescent="0.3">
      <c r="A220" s="57" t="s">
        <v>381</v>
      </c>
      <c r="B220" s="52"/>
      <c r="C220" s="58">
        <f>2+2+2+2+2+4+4+4+4+4+4+6+6+6+6+6+6+8+8+8+8+8+8+2+4+4+4+4+4+4+4+4+4+4+4+4+4+4+6+6+6+6+6+8+8+8+8+8+8+8+8+8+4+4+4+8+8+8+8+8+8+8+8+8+6+8+8+8+8+8+8+8+8</f>
        <v>432</v>
      </c>
      <c r="D220" s="52"/>
      <c r="E220" s="8"/>
      <c r="F220" s="52"/>
      <c r="G220" s="101">
        <f t="shared" si="3"/>
        <v>0</v>
      </c>
      <c r="H220" s="52"/>
      <c r="I220" s="52"/>
      <c r="J220" s="28"/>
      <c r="K220" s="29"/>
    </row>
    <row r="221" spans="1:11" ht="18.75" customHeight="1" x14ac:dyDescent="0.3">
      <c r="A221" s="57" t="s">
        <v>382</v>
      </c>
      <c r="B221" s="52"/>
      <c r="C221" s="58">
        <f>2+2+2+2+2</f>
        <v>10</v>
      </c>
      <c r="D221" s="52"/>
      <c r="E221" s="8"/>
      <c r="F221" s="52"/>
      <c r="G221" s="101">
        <f t="shared" si="3"/>
        <v>0</v>
      </c>
      <c r="H221" s="52"/>
      <c r="I221" s="52"/>
      <c r="J221" s="28"/>
      <c r="K221" s="29"/>
    </row>
    <row r="222" spans="1:11" ht="18.75" customHeight="1" x14ac:dyDescent="0.3">
      <c r="A222" s="57" t="s">
        <v>383</v>
      </c>
      <c r="B222" s="52"/>
      <c r="C222" s="58">
        <f>2</f>
        <v>2</v>
      </c>
      <c r="D222" s="52"/>
      <c r="E222" s="8"/>
      <c r="F222" s="52"/>
      <c r="G222" s="101">
        <f t="shared" si="3"/>
        <v>0</v>
      </c>
      <c r="H222" s="52"/>
      <c r="I222" s="52"/>
      <c r="J222" s="28"/>
      <c r="K222" s="29"/>
    </row>
    <row r="223" spans="1:11" ht="18.75" customHeight="1" x14ac:dyDescent="0.3">
      <c r="A223" s="57" t="s">
        <v>384</v>
      </c>
      <c r="B223" s="52"/>
      <c r="C223" s="58">
        <f>14+14+14+14+14+20+28+42+14+14+14+20</f>
        <v>222</v>
      </c>
      <c r="D223" s="52"/>
      <c r="E223" s="8"/>
      <c r="F223" s="52"/>
      <c r="G223" s="101">
        <f t="shared" si="3"/>
        <v>0</v>
      </c>
      <c r="H223" s="52"/>
      <c r="I223" s="52"/>
      <c r="J223" s="28"/>
      <c r="K223" s="29"/>
    </row>
    <row r="224" spans="1:11" ht="18.75" customHeight="1" x14ac:dyDescent="0.3">
      <c r="A224" s="57" t="s">
        <v>385</v>
      </c>
      <c r="B224" s="52"/>
      <c r="C224" s="58">
        <f>7+31+32</f>
        <v>70</v>
      </c>
      <c r="D224" s="52"/>
      <c r="E224" s="8"/>
      <c r="F224" s="52"/>
      <c r="G224" s="101">
        <f t="shared" si="3"/>
        <v>0</v>
      </c>
      <c r="H224" s="52"/>
      <c r="I224" s="52"/>
      <c r="J224" s="28"/>
      <c r="K224" s="29"/>
    </row>
    <row r="225" spans="1:11" ht="18.75" customHeight="1" x14ac:dyDescent="0.3">
      <c r="A225" s="57" t="s">
        <v>386</v>
      </c>
      <c r="B225" s="52"/>
      <c r="C225" s="58">
        <v>0.5</v>
      </c>
      <c r="D225" s="52"/>
      <c r="E225" s="8"/>
      <c r="F225" s="52"/>
      <c r="G225" s="101">
        <f t="shared" si="3"/>
        <v>0</v>
      </c>
      <c r="H225" s="52"/>
      <c r="I225" s="52"/>
      <c r="J225" s="28"/>
      <c r="K225" s="29"/>
    </row>
    <row r="226" spans="1:11" ht="18.75" customHeight="1" x14ac:dyDescent="0.3">
      <c r="A226" s="57" t="s">
        <v>387</v>
      </c>
      <c r="B226" s="52"/>
      <c r="C226" s="58">
        <f>22+13+30+31+32+27</f>
        <v>155</v>
      </c>
      <c r="D226" s="52"/>
      <c r="E226" s="8"/>
      <c r="F226" s="52"/>
      <c r="G226" s="101">
        <f t="shared" si="3"/>
        <v>0</v>
      </c>
      <c r="H226" s="52"/>
      <c r="I226" s="52"/>
      <c r="J226" s="28"/>
      <c r="K226" s="29"/>
    </row>
    <row r="227" spans="1:11" ht="18.75" customHeight="1" x14ac:dyDescent="0.3">
      <c r="A227" s="57" t="s">
        <v>388</v>
      </c>
      <c r="B227" s="52"/>
      <c r="C227" s="58">
        <v>0.5</v>
      </c>
      <c r="D227" s="52"/>
      <c r="E227" s="8"/>
      <c r="F227" s="52"/>
      <c r="G227" s="101">
        <f t="shared" si="3"/>
        <v>0</v>
      </c>
      <c r="H227" s="52"/>
      <c r="I227" s="52"/>
      <c r="J227" s="28"/>
      <c r="K227" s="29"/>
    </row>
    <row r="228" spans="1:11" ht="18.75" customHeight="1" x14ac:dyDescent="0.3">
      <c r="A228" s="57" t="s">
        <v>389</v>
      </c>
      <c r="B228" s="52"/>
      <c r="C228" s="58">
        <v>5</v>
      </c>
      <c r="D228" s="52"/>
      <c r="E228" s="8"/>
      <c r="F228" s="52"/>
      <c r="G228" s="101">
        <f t="shared" si="3"/>
        <v>0</v>
      </c>
      <c r="H228" s="52"/>
      <c r="I228" s="52"/>
      <c r="J228" s="28"/>
      <c r="K228" s="29"/>
    </row>
    <row r="229" spans="1:11" ht="18.75" customHeight="1" x14ac:dyDescent="0.3">
      <c r="A229" s="57" t="s">
        <v>390</v>
      </c>
      <c r="B229" s="52"/>
      <c r="C229" s="58">
        <f>1+25+25+27+28+28+28+29+29+29+29+29+30+30+31+31+31+31+32+32+32+32+32+33+52+57+65+76+90+93+94+29+30+31+30+31+31+38</f>
        <v>1431</v>
      </c>
      <c r="D229" s="52"/>
      <c r="E229" s="8"/>
      <c r="F229" s="52"/>
      <c r="G229" s="101">
        <f t="shared" si="3"/>
        <v>0</v>
      </c>
      <c r="H229" s="52"/>
      <c r="I229" s="52"/>
      <c r="J229" s="28"/>
      <c r="K229" s="29"/>
    </row>
    <row r="230" spans="1:11" ht="18.75" customHeight="1" x14ac:dyDescent="0.3">
      <c r="A230" s="57" t="s">
        <v>391</v>
      </c>
      <c r="B230" s="52"/>
      <c r="C230" s="58">
        <f>17+26+26+28+28+28+29+29+29+29+30+30+30+31+31+31+32+32+32+32+32+36+47+58+60+61+62+62+28+29+31+31+32+32+35</f>
        <v>1216</v>
      </c>
      <c r="D230" s="52"/>
      <c r="E230" s="8"/>
      <c r="F230" s="52"/>
      <c r="G230" s="101">
        <f t="shared" si="3"/>
        <v>0</v>
      </c>
      <c r="H230" s="52"/>
      <c r="I230" s="52"/>
      <c r="J230" s="28"/>
      <c r="K230" s="29"/>
    </row>
    <row r="231" spans="1:11" ht="18.75" customHeight="1" x14ac:dyDescent="0.3">
      <c r="A231" s="57" t="s">
        <v>392</v>
      </c>
      <c r="B231" s="52"/>
      <c r="C231" s="58">
        <v>28</v>
      </c>
      <c r="D231" s="52"/>
      <c r="E231" s="8"/>
      <c r="F231" s="52"/>
      <c r="G231" s="101">
        <f t="shared" si="3"/>
        <v>0</v>
      </c>
      <c r="H231" s="52"/>
      <c r="I231" s="52"/>
      <c r="J231" s="28"/>
      <c r="K231" s="29"/>
    </row>
    <row r="232" spans="1:11" ht="18.75" customHeight="1" x14ac:dyDescent="0.3">
      <c r="A232" s="57" t="s">
        <v>393</v>
      </c>
      <c r="B232" s="52"/>
      <c r="C232" s="58">
        <f>2+18+19+25+26+27+28+28+28+28+29+29+29+30+31+31+31+31+31+32+33+46+62+11+30+30+30+30+30+32+38+55+53+63+44+64</f>
        <v>1184</v>
      </c>
      <c r="D232" s="52"/>
      <c r="E232" s="8"/>
      <c r="F232" s="52"/>
      <c r="G232" s="101">
        <f t="shared" si="3"/>
        <v>0</v>
      </c>
      <c r="H232" s="52"/>
      <c r="I232" s="52"/>
      <c r="J232" s="28"/>
      <c r="K232" s="29"/>
    </row>
    <row r="233" spans="1:11" ht="18.75" customHeight="1" x14ac:dyDescent="0.3">
      <c r="A233" s="57" t="s">
        <v>394</v>
      </c>
      <c r="B233" s="52"/>
      <c r="C233" s="58">
        <v>21</v>
      </c>
      <c r="D233" s="52"/>
      <c r="E233" s="8"/>
      <c r="F233" s="52"/>
      <c r="G233" s="101">
        <f t="shared" si="3"/>
        <v>0</v>
      </c>
      <c r="H233" s="52"/>
      <c r="I233" s="52"/>
      <c r="J233" s="28"/>
      <c r="K233" s="29"/>
    </row>
    <row r="234" spans="1:11" ht="18.75" customHeight="1" x14ac:dyDescent="0.3">
      <c r="A234" s="57" t="s">
        <v>395</v>
      </c>
      <c r="B234" s="52"/>
      <c r="C234" s="58">
        <f>15+15+15+15+15+15+15+15</f>
        <v>120</v>
      </c>
      <c r="D234" s="52"/>
      <c r="E234" s="8"/>
      <c r="F234" s="52"/>
      <c r="G234" s="101">
        <f t="shared" si="3"/>
        <v>0</v>
      </c>
      <c r="H234" s="52"/>
      <c r="I234" s="52"/>
      <c r="J234" s="28"/>
      <c r="K234" s="29"/>
    </row>
    <row r="235" spans="1:11" ht="18.75" customHeight="1" x14ac:dyDescent="0.3">
      <c r="A235" s="57" t="s">
        <v>396</v>
      </c>
      <c r="B235" s="52"/>
      <c r="C235" s="58">
        <v>60</v>
      </c>
      <c r="D235" s="52"/>
      <c r="E235" s="8"/>
      <c r="F235" s="52"/>
      <c r="G235" s="101">
        <f t="shared" si="3"/>
        <v>0</v>
      </c>
      <c r="H235" s="52"/>
      <c r="I235" s="52"/>
      <c r="J235" s="28"/>
      <c r="K235" s="29"/>
    </row>
    <row r="236" spans="1:11" ht="18.75" customHeight="1" x14ac:dyDescent="0.3">
      <c r="A236" s="57" t="s">
        <v>397</v>
      </c>
      <c r="B236" s="52"/>
      <c r="C236" s="58">
        <f>80+80</f>
        <v>160</v>
      </c>
      <c r="D236" s="52"/>
      <c r="E236" s="8"/>
      <c r="F236" s="52"/>
      <c r="G236" s="101">
        <f t="shared" si="3"/>
        <v>0</v>
      </c>
      <c r="H236" s="52"/>
      <c r="I236" s="52"/>
      <c r="J236" s="28"/>
      <c r="K236" s="29"/>
    </row>
    <row r="237" spans="1:11" ht="18.75" customHeight="1" x14ac:dyDescent="0.3">
      <c r="A237" s="57" t="s">
        <v>398</v>
      </c>
      <c r="B237" s="52"/>
      <c r="C237" s="58">
        <f>80+80+80+80</f>
        <v>320</v>
      </c>
      <c r="D237" s="52"/>
      <c r="E237" s="8"/>
      <c r="F237" s="52"/>
      <c r="G237" s="101">
        <f t="shared" si="3"/>
        <v>0</v>
      </c>
      <c r="H237" s="52"/>
      <c r="I237" s="52"/>
      <c r="J237" s="28"/>
      <c r="K237" s="29"/>
    </row>
    <row r="238" spans="1:11" ht="18.75" customHeight="1" x14ac:dyDescent="0.3">
      <c r="A238" s="57" t="s">
        <v>399</v>
      </c>
      <c r="B238" s="52"/>
      <c r="C238" s="58">
        <f>1</f>
        <v>1</v>
      </c>
      <c r="D238" s="52"/>
      <c r="E238" s="8"/>
      <c r="F238" s="52"/>
      <c r="G238" s="101">
        <f t="shared" si="3"/>
        <v>0</v>
      </c>
      <c r="H238" s="52"/>
      <c r="I238" s="52"/>
      <c r="J238" s="28"/>
      <c r="K238" s="29"/>
    </row>
    <row r="239" spans="1:11" ht="18.75" customHeight="1" x14ac:dyDescent="0.3">
      <c r="A239" s="57" t="s">
        <v>184</v>
      </c>
      <c r="B239" s="52"/>
      <c r="C239" s="58">
        <v>1</v>
      </c>
      <c r="D239" s="52"/>
      <c r="E239" s="8"/>
      <c r="F239" s="52"/>
      <c r="G239" s="101">
        <f t="shared" si="3"/>
        <v>0</v>
      </c>
      <c r="H239" s="52"/>
      <c r="I239" s="52"/>
      <c r="J239" s="28"/>
      <c r="K239" s="29"/>
    </row>
    <row r="240" spans="1:11" ht="18.75" customHeight="1" x14ac:dyDescent="0.3">
      <c r="A240" s="57" t="s">
        <v>400</v>
      </c>
      <c r="B240" s="52"/>
      <c r="C240" s="58">
        <f>85+85</f>
        <v>170</v>
      </c>
      <c r="D240" s="52"/>
      <c r="E240" s="8"/>
      <c r="F240" s="52"/>
      <c r="G240" s="101">
        <f t="shared" si="3"/>
        <v>0</v>
      </c>
      <c r="H240" s="52"/>
      <c r="I240" s="52"/>
      <c r="J240" s="28"/>
      <c r="K240" s="29"/>
    </row>
    <row r="241" spans="1:11" ht="18.75" customHeight="1" x14ac:dyDescent="0.3">
      <c r="A241" s="57" t="s">
        <v>401</v>
      </c>
      <c r="B241" s="52"/>
      <c r="C241" s="58">
        <f>473+473+473+473+473+473+473+473+473+473+473+473</f>
        <v>5676</v>
      </c>
      <c r="D241" s="52"/>
      <c r="E241" s="8"/>
      <c r="F241" s="52"/>
      <c r="G241" s="101">
        <f t="shared" si="3"/>
        <v>0</v>
      </c>
      <c r="H241" s="52"/>
      <c r="I241" s="52"/>
      <c r="J241" s="28"/>
      <c r="K241" s="29"/>
    </row>
    <row r="242" spans="1:11" ht="18.75" customHeight="1" x14ac:dyDescent="0.3">
      <c r="A242" s="57" t="s">
        <v>402</v>
      </c>
      <c r="B242" s="52"/>
      <c r="C242" s="58">
        <v>18</v>
      </c>
      <c r="D242" s="52"/>
      <c r="E242" s="8"/>
      <c r="F242" s="52"/>
      <c r="G242" s="101">
        <f t="shared" si="3"/>
        <v>0</v>
      </c>
      <c r="H242" s="52"/>
      <c r="I242" s="52"/>
      <c r="J242" s="28"/>
      <c r="K242" s="29"/>
    </row>
    <row r="243" spans="1:11" ht="18.75" customHeight="1" x14ac:dyDescent="0.3">
      <c r="A243" s="57" t="s">
        <v>403</v>
      </c>
      <c r="B243" s="52"/>
      <c r="C243" s="58">
        <f>3+4+5</f>
        <v>12</v>
      </c>
      <c r="D243" s="52"/>
      <c r="E243" s="8"/>
      <c r="F243" s="52"/>
      <c r="G243" s="101">
        <f t="shared" si="3"/>
        <v>0</v>
      </c>
      <c r="H243" s="52"/>
      <c r="I243" s="52"/>
      <c r="J243" s="28"/>
      <c r="K243" s="29"/>
    </row>
    <row r="244" spans="1:11" ht="18.75" customHeight="1" x14ac:dyDescent="0.3">
      <c r="A244" s="57" t="s">
        <v>404</v>
      </c>
      <c r="B244" s="52"/>
      <c r="C244" s="58">
        <f>30+30+30+6+30+30+30+30+30+30+30+30+30+30+30+30+30+30+30+30+30+30+30+30+30+30+30+30+30+30+30+30+30+30+3030+30+30+30+30+30+30</f>
        <v>4206</v>
      </c>
      <c r="D244" s="52"/>
      <c r="E244" s="8"/>
      <c r="F244" s="52"/>
      <c r="G244" s="101">
        <f t="shared" si="3"/>
        <v>0</v>
      </c>
      <c r="H244" s="52"/>
      <c r="I244" s="52"/>
      <c r="J244" s="28"/>
      <c r="K244" s="29"/>
    </row>
    <row r="245" spans="1:11" ht="18.75" customHeight="1" x14ac:dyDescent="0.3">
      <c r="A245" s="57"/>
      <c r="B245" s="52"/>
      <c r="C245" s="58"/>
      <c r="D245" s="52"/>
      <c r="E245" s="60"/>
      <c r="F245" s="52"/>
      <c r="G245" s="101"/>
      <c r="H245" s="52"/>
      <c r="I245" s="52"/>
      <c r="J245" s="28"/>
      <c r="K245" s="29"/>
    </row>
    <row r="246" spans="1:11" ht="18.75" customHeight="1" x14ac:dyDescent="0.25">
      <c r="A246" s="109" t="s">
        <v>513</v>
      </c>
      <c r="B246" s="109"/>
      <c r="C246" s="109"/>
      <c r="D246" s="109"/>
      <c r="E246" s="109"/>
      <c r="F246" s="53"/>
      <c r="G246" s="61">
        <f>SUM(G11:G244)</f>
        <v>0</v>
      </c>
      <c r="H246" s="53" t="s">
        <v>693</v>
      </c>
      <c r="I246" s="53"/>
      <c r="J246" s="29"/>
      <c r="K246" s="29"/>
    </row>
    <row r="247" spans="1:11" ht="18.75" customHeight="1" x14ac:dyDescent="0.25">
      <c r="A247" s="62" t="s">
        <v>689</v>
      </c>
      <c r="B247" s="62"/>
      <c r="C247" s="5"/>
      <c r="D247" s="62"/>
      <c r="E247" s="62" t="s">
        <v>690</v>
      </c>
      <c r="F247" s="53"/>
      <c r="G247" s="63">
        <f>C247*12</f>
        <v>0</v>
      </c>
      <c r="H247" s="53" t="s">
        <v>694</v>
      </c>
      <c r="I247" s="53"/>
      <c r="J247" s="29"/>
      <c r="K247" s="29"/>
    </row>
    <row r="248" spans="1:11" x14ac:dyDescent="0.25">
      <c r="A248" s="53"/>
      <c r="B248" s="53"/>
      <c r="C248" s="53"/>
      <c r="D248" s="53"/>
      <c r="E248" s="53"/>
      <c r="F248" s="53"/>
      <c r="G248" s="53"/>
      <c r="H248" s="53" t="s">
        <v>691</v>
      </c>
      <c r="I248" s="53"/>
      <c r="J248" s="29"/>
      <c r="K248" s="29"/>
    </row>
    <row r="249" spans="1:11" x14ac:dyDescent="0.25">
      <c r="A249" s="67" t="s">
        <v>696</v>
      </c>
      <c r="B249" s="53"/>
      <c r="C249" s="53"/>
      <c r="D249" s="53"/>
      <c r="E249" s="53"/>
      <c r="F249" s="53"/>
      <c r="G249" s="64">
        <f>G246+G247</f>
        <v>0</v>
      </c>
      <c r="H249" s="53" t="s">
        <v>695</v>
      </c>
      <c r="I249" s="53"/>
      <c r="J249" s="29"/>
      <c r="K249" s="29"/>
    </row>
    <row r="250" spans="1:11" x14ac:dyDescent="0.25">
      <c r="A250" s="67"/>
      <c r="B250" s="53"/>
      <c r="C250" s="53"/>
      <c r="D250" s="53"/>
      <c r="E250" s="53"/>
      <c r="F250" s="53"/>
      <c r="G250" s="65"/>
      <c r="H250" s="53"/>
      <c r="I250" s="53"/>
      <c r="J250" s="29"/>
      <c r="K250" s="29"/>
    </row>
    <row r="251" spans="1:11" ht="15.75" thickBot="1" x14ac:dyDescent="0.3">
      <c r="A251" s="67" t="s">
        <v>697</v>
      </c>
      <c r="B251" s="53"/>
      <c r="C251" s="53"/>
      <c r="D251" s="53"/>
      <c r="E251" s="53"/>
      <c r="F251" s="53"/>
      <c r="G251" s="66">
        <f>G249*5</f>
        <v>0</v>
      </c>
      <c r="H251" s="53"/>
      <c r="I251" s="53"/>
      <c r="J251" s="29"/>
      <c r="K251" s="29"/>
    </row>
    <row r="252" spans="1:11" x14ac:dyDescent="0.25">
      <c r="A252" s="67"/>
      <c r="B252" s="53"/>
      <c r="C252" s="53"/>
      <c r="D252" s="53"/>
      <c r="E252" s="53"/>
      <c r="F252" s="53"/>
      <c r="G252" s="65" t="s">
        <v>692</v>
      </c>
      <c r="H252" s="53"/>
      <c r="I252" s="53"/>
      <c r="J252" s="29"/>
      <c r="K252" s="29"/>
    </row>
    <row r="253" spans="1:11" x14ac:dyDescent="0.25">
      <c r="A253" s="67"/>
      <c r="B253" s="53"/>
      <c r="C253" s="53"/>
      <c r="D253" s="53"/>
      <c r="E253" s="53"/>
      <c r="F253" s="53"/>
      <c r="G253" s="65" t="s">
        <v>705</v>
      </c>
      <c r="H253" s="53"/>
      <c r="I253" s="53"/>
      <c r="J253" s="29"/>
      <c r="K253" s="29"/>
    </row>
    <row r="254" spans="1:11" x14ac:dyDescent="0.25">
      <c r="A254" s="67"/>
      <c r="B254" s="53"/>
      <c r="C254" s="53"/>
      <c r="D254" s="53"/>
      <c r="E254" s="53"/>
      <c r="F254" s="53"/>
      <c r="G254" s="65"/>
      <c r="H254" s="53"/>
      <c r="I254" s="53"/>
      <c r="J254" s="29"/>
      <c r="K254" s="29"/>
    </row>
    <row r="255" spans="1:11" ht="15.75" x14ac:dyDescent="0.25">
      <c r="A255" s="32" t="s">
        <v>0</v>
      </c>
      <c r="B255" s="29"/>
      <c r="C255" s="29"/>
      <c r="D255" s="29"/>
      <c r="E255" s="29"/>
      <c r="F255" s="29"/>
      <c r="G255" s="29"/>
      <c r="H255" s="29"/>
      <c r="I255" s="29"/>
      <c r="J255" s="29"/>
      <c r="K255" s="29"/>
    </row>
    <row r="256" spans="1:11" x14ac:dyDescent="0.25">
      <c r="B256" s="29"/>
      <c r="C256" s="29"/>
      <c r="D256" s="29"/>
      <c r="E256" s="29"/>
      <c r="F256" s="29"/>
      <c r="G256" s="29"/>
      <c r="H256" s="29"/>
      <c r="I256" s="29"/>
      <c r="J256" s="29"/>
      <c r="K256" s="29"/>
    </row>
    <row r="257" spans="1:11" ht="15.75" x14ac:dyDescent="0.25">
      <c r="A257" s="33" t="s">
        <v>1</v>
      </c>
      <c r="B257" s="33"/>
      <c r="C257" s="34"/>
      <c r="D257" s="34"/>
      <c r="E257" s="34"/>
      <c r="F257" s="34"/>
      <c r="G257" s="34"/>
      <c r="H257" s="35" t="s">
        <v>2</v>
      </c>
      <c r="I257" s="36"/>
      <c r="J257" s="29"/>
      <c r="K257" s="29"/>
    </row>
    <row r="258" spans="1:11" ht="24.95" customHeight="1" x14ac:dyDescent="0.25">
      <c r="A258" s="33" t="s">
        <v>3</v>
      </c>
      <c r="B258" s="33"/>
      <c r="C258" s="107"/>
      <c r="D258" s="108"/>
      <c r="E258" s="108"/>
      <c r="F258" s="108"/>
      <c r="G258" s="108"/>
      <c r="H258" s="108"/>
      <c r="I258" s="108"/>
      <c r="J258" s="29"/>
      <c r="K258" s="29"/>
    </row>
    <row r="259" spans="1:11" ht="24.95" customHeight="1" x14ac:dyDescent="0.25">
      <c r="A259" s="33" t="s">
        <v>698</v>
      </c>
      <c r="B259" s="33"/>
      <c r="C259" s="105"/>
      <c r="D259" s="106"/>
      <c r="E259" s="106"/>
      <c r="F259" s="106"/>
      <c r="G259" s="106"/>
      <c r="H259" s="106"/>
      <c r="I259" s="106"/>
      <c r="J259" s="29"/>
      <c r="K259" s="29"/>
    </row>
    <row r="260" spans="1:11" ht="24.95" customHeight="1" x14ac:dyDescent="0.25">
      <c r="A260" s="33" t="s">
        <v>699</v>
      </c>
      <c r="B260" s="33"/>
      <c r="C260" s="105"/>
      <c r="D260" s="106"/>
      <c r="E260" s="106"/>
      <c r="F260" s="106"/>
      <c r="G260" s="106"/>
      <c r="H260" s="106"/>
      <c r="I260" s="106"/>
      <c r="J260" s="29"/>
      <c r="K260" s="29"/>
    </row>
    <row r="261" spans="1:11" ht="24.95" customHeight="1" x14ac:dyDescent="0.25">
      <c r="A261" s="33" t="s">
        <v>700</v>
      </c>
      <c r="B261" s="33"/>
      <c r="C261" s="105"/>
      <c r="D261" s="106"/>
      <c r="E261" s="106"/>
      <c r="F261" s="106"/>
      <c r="G261" s="106"/>
      <c r="H261" s="106"/>
      <c r="I261" s="106"/>
      <c r="J261" s="29"/>
      <c r="K261" s="29"/>
    </row>
    <row r="262" spans="1:11" ht="24.95" customHeight="1" x14ac:dyDescent="0.25">
      <c r="A262" s="33" t="s">
        <v>701</v>
      </c>
      <c r="B262" s="33"/>
      <c r="C262" s="105"/>
      <c r="D262" s="106"/>
      <c r="E262" s="106"/>
      <c r="F262" s="106"/>
      <c r="G262" s="106"/>
      <c r="H262" s="106"/>
      <c r="I262" s="106"/>
      <c r="J262" s="29"/>
      <c r="K262" s="29"/>
    </row>
    <row r="263" spans="1:11" ht="38.25" customHeight="1" x14ac:dyDescent="0.25">
      <c r="A263" s="37" t="s">
        <v>702</v>
      </c>
      <c r="B263" s="33"/>
      <c r="C263" s="107"/>
      <c r="D263" s="108"/>
      <c r="E263" s="108"/>
      <c r="F263" s="108"/>
      <c r="G263" s="108"/>
      <c r="H263" s="108"/>
      <c r="I263" s="108"/>
      <c r="J263" s="29"/>
      <c r="K263" s="29"/>
    </row>
    <row r="264" spans="1:11" ht="24.95" customHeight="1" x14ac:dyDescent="0.25">
      <c r="A264" s="33" t="s">
        <v>4</v>
      </c>
      <c r="B264" s="33"/>
      <c r="C264" s="105"/>
      <c r="D264" s="106"/>
      <c r="E264" s="106"/>
      <c r="F264" s="106"/>
      <c r="G264" s="106"/>
      <c r="H264" s="106"/>
      <c r="I264" s="106"/>
      <c r="J264" s="29"/>
      <c r="K264" s="29"/>
    </row>
    <row r="265" spans="1:11" ht="24.95" customHeight="1" x14ac:dyDescent="0.25">
      <c r="A265" s="33" t="s">
        <v>117</v>
      </c>
      <c r="B265" s="33"/>
      <c r="C265" s="105"/>
      <c r="D265" s="106"/>
      <c r="E265" s="106"/>
      <c r="F265" s="106"/>
      <c r="G265" s="106"/>
      <c r="H265" s="106"/>
      <c r="I265" s="106"/>
      <c r="J265" s="29"/>
      <c r="K265" s="29"/>
    </row>
    <row r="266" spans="1:11" x14ac:dyDescent="0.25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</row>
    <row r="267" spans="1:11" x14ac:dyDescent="0.25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</row>
    <row r="268" spans="1:11" x14ac:dyDescent="0.25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</row>
    <row r="269" spans="1:11" x14ac:dyDescent="0.25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</row>
    <row r="270" spans="1:11" x14ac:dyDescent="0.25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</row>
    <row r="271" spans="1:11" x14ac:dyDescent="0.25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</row>
    <row r="272" spans="1:11" x14ac:dyDescent="0.25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</row>
    <row r="273" spans="1:11" x14ac:dyDescent="0.25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</row>
    <row r="274" spans="1:11" x14ac:dyDescent="0.25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</row>
    <row r="275" spans="1:11" x14ac:dyDescent="0.25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</row>
    <row r="276" spans="1:11" x14ac:dyDescent="0.25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</row>
    <row r="277" spans="1:11" x14ac:dyDescent="0.25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</row>
    <row r="278" spans="1:11" x14ac:dyDescent="0.25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</row>
    <row r="279" spans="1:11" x14ac:dyDescent="0.25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</row>
    <row r="280" spans="1:11" x14ac:dyDescent="0.25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</row>
    <row r="281" spans="1:11" x14ac:dyDescent="0.25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</row>
    <row r="282" spans="1:11" x14ac:dyDescent="0.25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</row>
    <row r="283" spans="1:11" x14ac:dyDescent="0.25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</row>
    <row r="284" spans="1:11" x14ac:dyDescent="0.25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</row>
    <row r="285" spans="1:11" x14ac:dyDescent="0.25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</row>
    <row r="286" spans="1:11" x14ac:dyDescent="0.25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</row>
    <row r="287" spans="1:11" x14ac:dyDescent="0.25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</row>
    <row r="288" spans="1:11" x14ac:dyDescent="0.25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</row>
    <row r="289" spans="1:11" x14ac:dyDescent="0.25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</row>
    <row r="290" spans="1:11" x14ac:dyDescent="0.25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</row>
    <row r="291" spans="1:11" x14ac:dyDescent="0.25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</row>
    <row r="292" spans="1:11" x14ac:dyDescent="0.25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</row>
    <row r="293" spans="1:11" x14ac:dyDescent="0.25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</row>
    <row r="294" spans="1:11" x14ac:dyDescent="0.25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</row>
    <row r="295" spans="1:11" x14ac:dyDescent="0.25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</row>
    <row r="296" spans="1:11" x14ac:dyDescent="0.25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</row>
    <row r="297" spans="1:11" x14ac:dyDescent="0.25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</row>
    <row r="298" spans="1:11" x14ac:dyDescent="0.25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</row>
    <row r="299" spans="1:11" x14ac:dyDescent="0.25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</row>
    <row r="300" spans="1:11" x14ac:dyDescent="0.25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</row>
    <row r="301" spans="1:11" x14ac:dyDescent="0.25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</row>
    <row r="302" spans="1:11" x14ac:dyDescent="0.25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</row>
    <row r="303" spans="1:11" x14ac:dyDescent="0.25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</row>
    <row r="304" spans="1:11" x14ac:dyDescent="0.25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</row>
    <row r="305" spans="1:11" x14ac:dyDescent="0.25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</row>
    <row r="306" spans="1:11" x14ac:dyDescent="0.25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</row>
    <row r="307" spans="1:11" x14ac:dyDescent="0.25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</row>
    <row r="308" spans="1:11" x14ac:dyDescent="0.25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</row>
    <row r="309" spans="1:11" x14ac:dyDescent="0.25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</row>
    <row r="310" spans="1:11" x14ac:dyDescent="0.25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</row>
    <row r="311" spans="1:11" x14ac:dyDescent="0.25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</row>
    <row r="312" spans="1:11" x14ac:dyDescent="0.25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</row>
    <row r="313" spans="1:11" x14ac:dyDescent="0.25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</row>
    <row r="314" spans="1:11" x14ac:dyDescent="0.25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</row>
    <row r="315" spans="1:11" x14ac:dyDescent="0.25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</row>
    <row r="316" spans="1:11" x14ac:dyDescent="0.25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</row>
    <row r="317" spans="1:11" x14ac:dyDescent="0.25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</row>
    <row r="318" spans="1:11" x14ac:dyDescent="0.25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</row>
    <row r="319" spans="1:11" x14ac:dyDescent="0.25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</row>
    <row r="320" spans="1:11" x14ac:dyDescent="0.25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</row>
    <row r="321" spans="1:11" x14ac:dyDescent="0.25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</row>
    <row r="322" spans="1:11" x14ac:dyDescent="0.25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</row>
    <row r="323" spans="1:11" x14ac:dyDescent="0.25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</row>
    <row r="324" spans="1:11" x14ac:dyDescent="0.25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</row>
    <row r="325" spans="1:11" x14ac:dyDescent="0.25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</row>
    <row r="326" spans="1:11" x14ac:dyDescent="0.25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</row>
    <row r="327" spans="1:11" x14ac:dyDescent="0.25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</row>
    <row r="328" spans="1:11" x14ac:dyDescent="0.25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</row>
    <row r="329" spans="1:11" x14ac:dyDescent="0.25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</row>
    <row r="330" spans="1:11" x14ac:dyDescent="0.25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</row>
    <row r="331" spans="1:11" x14ac:dyDescent="0.25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</row>
    <row r="332" spans="1:11" x14ac:dyDescent="0.25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</row>
    <row r="333" spans="1:11" x14ac:dyDescent="0.25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</row>
    <row r="334" spans="1:11" x14ac:dyDescent="0.25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</row>
    <row r="335" spans="1:11" x14ac:dyDescent="0.25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</row>
    <row r="336" spans="1:11" x14ac:dyDescent="0.25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</row>
    <row r="337" spans="1:11" x14ac:dyDescent="0.25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</row>
    <row r="338" spans="1:11" x14ac:dyDescent="0.25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</row>
    <row r="339" spans="1:11" x14ac:dyDescent="0.25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</row>
    <row r="340" spans="1:11" x14ac:dyDescent="0.25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</row>
    <row r="341" spans="1:11" x14ac:dyDescent="0.25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</row>
    <row r="342" spans="1:11" x14ac:dyDescent="0.25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</row>
    <row r="343" spans="1:11" x14ac:dyDescent="0.25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</row>
    <row r="344" spans="1:11" x14ac:dyDescent="0.25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</row>
    <row r="345" spans="1:11" x14ac:dyDescent="0.25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</row>
    <row r="346" spans="1:11" x14ac:dyDescent="0.25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</row>
    <row r="347" spans="1:11" x14ac:dyDescent="0.25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</row>
    <row r="348" spans="1:11" x14ac:dyDescent="0.25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</row>
    <row r="349" spans="1:11" x14ac:dyDescent="0.25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</row>
    <row r="350" spans="1:11" x14ac:dyDescent="0.25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</row>
    <row r="351" spans="1:11" x14ac:dyDescent="0.25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</row>
    <row r="352" spans="1:11" x14ac:dyDescent="0.25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</row>
    <row r="353" spans="1:11" x14ac:dyDescent="0.25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</row>
    <row r="354" spans="1:11" x14ac:dyDescent="0.25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</row>
  </sheetData>
  <sheetProtection algorithmName="SHA-512" hashValue="fk/5qxokVqoGLLWkWHtW2tA1kMdPaoezcAtObW86qDPhHkVmAdtKx+WqEzitF3NIpc/oGraq5HhWjnd07+Skqw==" saltValue="1NoNALfRBISKoEGThrn4Qg==" spinCount="100000" sheet="1" objects="1" scenarios="1"/>
  <mergeCells count="10">
    <mergeCell ref="A1:I1"/>
    <mergeCell ref="C262:I262"/>
    <mergeCell ref="C263:I263"/>
    <mergeCell ref="C264:I264"/>
    <mergeCell ref="C265:I265"/>
    <mergeCell ref="A246:E246"/>
    <mergeCell ref="C258:I258"/>
    <mergeCell ref="C259:I259"/>
    <mergeCell ref="C260:I260"/>
    <mergeCell ref="C261:I261"/>
  </mergeCells>
  <pageMargins left="0.5" right="0.5" top="0.75" bottom="0.75" header="0.3" footer="0.3"/>
  <pageSetup scale="68" fitToHeight="0" orientation="portrait" r:id="rId1"/>
  <headerFooter>
    <oddFooter>&amp;C&amp;P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221"/>
  <sheetViews>
    <sheetView zoomScaleNormal="100" workbookViewId="0">
      <selection activeCell="A5" sqref="A5"/>
    </sheetView>
  </sheetViews>
  <sheetFormatPr defaultRowHeight="15" x14ac:dyDescent="0.25"/>
  <cols>
    <col min="1" max="1" width="42.7109375" style="26" customWidth="1"/>
    <col min="2" max="2" width="3" style="26" customWidth="1"/>
    <col min="3" max="3" width="15.7109375" style="26" customWidth="1"/>
    <col min="4" max="4" width="3.5703125" style="26" customWidth="1"/>
    <col min="5" max="5" width="19.42578125" style="26" customWidth="1"/>
    <col min="6" max="6" width="3.28515625" style="26" customWidth="1"/>
    <col min="7" max="7" width="16.7109375" style="26" customWidth="1"/>
    <col min="8" max="16384" width="9.140625" style="26"/>
  </cols>
  <sheetData>
    <row r="1" spans="1:12" ht="24.95" customHeight="1" x14ac:dyDescent="0.3">
      <c r="A1" s="112" t="s">
        <v>10</v>
      </c>
      <c r="B1" s="112"/>
      <c r="C1" s="112"/>
      <c r="D1" s="112"/>
      <c r="E1" s="112"/>
      <c r="F1" s="112"/>
      <c r="G1" s="112"/>
      <c r="H1" s="112"/>
      <c r="I1" s="112"/>
      <c r="J1" s="25"/>
      <c r="K1" s="25"/>
      <c r="L1" s="25"/>
    </row>
    <row r="2" spans="1:12" s="27" customFormat="1" ht="24.95" customHeight="1" x14ac:dyDescent="0.35">
      <c r="A2" s="43"/>
      <c r="B2" s="43"/>
      <c r="C2" s="44" t="s">
        <v>11</v>
      </c>
      <c r="D2" s="45"/>
      <c r="E2" s="43"/>
      <c r="F2" s="43"/>
      <c r="G2" s="43"/>
      <c r="H2" s="43"/>
      <c r="I2" s="43"/>
      <c r="J2" s="25"/>
      <c r="K2" s="25"/>
      <c r="L2" s="25"/>
    </row>
    <row r="3" spans="1:12" s="27" customFormat="1" ht="24.95" customHeight="1" x14ac:dyDescent="0.35">
      <c r="A3" s="46" t="s">
        <v>751</v>
      </c>
      <c r="B3" s="47"/>
      <c r="C3" s="44" t="s">
        <v>405</v>
      </c>
      <c r="D3" s="48"/>
      <c r="E3" s="47"/>
      <c r="F3" s="47"/>
      <c r="G3" s="43"/>
      <c r="H3" s="43"/>
      <c r="I3" s="43"/>
      <c r="J3" s="25"/>
      <c r="K3" s="25"/>
      <c r="L3" s="25"/>
    </row>
    <row r="4" spans="1:12" ht="22.5" customHeight="1" x14ac:dyDescent="0.35">
      <c r="A4" s="43"/>
      <c r="B4" s="46"/>
      <c r="C4" s="49"/>
      <c r="D4" s="50"/>
      <c r="E4" s="51"/>
      <c r="F4" s="51"/>
      <c r="G4" s="43"/>
      <c r="H4" s="43"/>
      <c r="I4" s="43"/>
      <c r="J4" s="25"/>
      <c r="K4" s="25"/>
      <c r="L4" s="25"/>
    </row>
    <row r="5" spans="1:12" ht="18.75" x14ac:dyDescent="0.3">
      <c r="A5" s="52" t="s">
        <v>5</v>
      </c>
      <c r="B5" s="53"/>
      <c r="C5" s="53"/>
      <c r="D5" s="53"/>
      <c r="E5" s="53"/>
      <c r="F5" s="53"/>
      <c r="G5" s="53"/>
      <c r="H5" s="53"/>
      <c r="I5" s="53"/>
      <c r="J5" s="29"/>
      <c r="K5" s="29"/>
    </row>
    <row r="6" spans="1:12" ht="18.75" x14ac:dyDescent="0.3">
      <c r="A6" s="52" t="s">
        <v>6</v>
      </c>
      <c r="B6" s="52"/>
      <c r="C6" s="52"/>
      <c r="D6" s="52"/>
      <c r="E6" s="52"/>
      <c r="F6" s="52"/>
      <c r="G6" s="52"/>
      <c r="H6" s="52"/>
      <c r="I6" s="52"/>
      <c r="J6" s="28"/>
      <c r="K6" s="29"/>
    </row>
    <row r="7" spans="1:12" ht="18.75" x14ac:dyDescent="0.3">
      <c r="A7" s="52" t="s">
        <v>7</v>
      </c>
      <c r="B7" s="52"/>
      <c r="C7" s="52"/>
      <c r="D7" s="52"/>
      <c r="E7" s="52"/>
      <c r="F7" s="52"/>
      <c r="G7" s="52"/>
      <c r="H7" s="52"/>
      <c r="I7" s="52"/>
      <c r="J7" s="28"/>
      <c r="K7" s="29"/>
    </row>
    <row r="8" spans="1:12" ht="18.75" x14ac:dyDescent="0.3">
      <c r="A8" s="52" t="s">
        <v>8</v>
      </c>
      <c r="B8" s="52"/>
      <c r="C8" s="52"/>
      <c r="D8" s="52"/>
      <c r="E8" s="52"/>
      <c r="F8" s="52"/>
      <c r="G8" s="52"/>
      <c r="H8" s="52"/>
      <c r="I8" s="52"/>
      <c r="J8" s="28"/>
      <c r="K8" s="29"/>
    </row>
    <row r="9" spans="1:12" ht="18.75" x14ac:dyDescent="0.3">
      <c r="A9" s="52"/>
      <c r="B9" s="52"/>
      <c r="C9" s="52"/>
      <c r="D9" s="52"/>
      <c r="E9" s="52"/>
      <c r="F9" s="52"/>
      <c r="G9" s="52"/>
      <c r="H9" s="52"/>
      <c r="I9" s="52"/>
      <c r="J9" s="28"/>
      <c r="K9" s="29"/>
    </row>
    <row r="10" spans="1:12" ht="48" x14ac:dyDescent="0.3">
      <c r="A10" s="54" t="s">
        <v>12</v>
      </c>
      <c r="B10" s="52"/>
      <c r="C10" s="55" t="s">
        <v>687</v>
      </c>
      <c r="D10" s="52"/>
      <c r="E10" s="56" t="s">
        <v>688</v>
      </c>
      <c r="F10" s="52"/>
      <c r="G10" s="56" t="s">
        <v>115</v>
      </c>
      <c r="H10" s="52"/>
      <c r="I10" s="52"/>
      <c r="J10" s="28"/>
      <c r="K10" s="29"/>
    </row>
    <row r="11" spans="1:12" ht="18.75" customHeight="1" x14ac:dyDescent="0.3">
      <c r="A11" s="57" t="s">
        <v>15</v>
      </c>
      <c r="B11" s="52"/>
      <c r="C11" s="58">
        <v>1543</v>
      </c>
      <c r="D11" s="52"/>
      <c r="E11" s="1"/>
      <c r="F11" s="52"/>
      <c r="G11" s="59">
        <f>C11*E11</f>
        <v>0</v>
      </c>
      <c r="H11" s="52"/>
      <c r="I11" s="52"/>
      <c r="J11" s="28"/>
      <c r="K11" s="29"/>
    </row>
    <row r="12" spans="1:12" ht="18.75" customHeight="1" x14ac:dyDescent="0.3">
      <c r="A12" s="57" t="s">
        <v>192</v>
      </c>
      <c r="B12" s="52"/>
      <c r="C12" s="58">
        <v>810</v>
      </c>
      <c r="D12" s="52"/>
      <c r="E12" s="1"/>
      <c r="F12" s="52"/>
      <c r="G12" s="59">
        <f t="shared" ref="G12:G72" si="0">C12*E12</f>
        <v>0</v>
      </c>
      <c r="H12" s="52"/>
      <c r="I12" s="52"/>
      <c r="J12" s="28"/>
      <c r="K12" s="29"/>
    </row>
    <row r="13" spans="1:12" ht="18.75" customHeight="1" x14ac:dyDescent="0.3">
      <c r="A13" s="57" t="s">
        <v>406</v>
      </c>
      <c r="B13" s="52"/>
      <c r="C13" s="58">
        <v>1132</v>
      </c>
      <c r="D13" s="52"/>
      <c r="E13" s="1"/>
      <c r="F13" s="52"/>
      <c r="G13" s="59">
        <f t="shared" si="0"/>
        <v>0</v>
      </c>
      <c r="H13" s="52"/>
      <c r="I13" s="52"/>
      <c r="J13" s="28"/>
      <c r="K13" s="29"/>
    </row>
    <row r="14" spans="1:12" ht="18.75" customHeight="1" x14ac:dyDescent="0.3">
      <c r="A14" s="57" t="s">
        <v>407</v>
      </c>
      <c r="B14" s="52"/>
      <c r="C14" s="58">
        <v>350</v>
      </c>
      <c r="D14" s="52"/>
      <c r="E14" s="1"/>
      <c r="F14" s="52"/>
      <c r="G14" s="59">
        <f t="shared" si="0"/>
        <v>0</v>
      </c>
      <c r="H14" s="52"/>
      <c r="I14" s="52"/>
      <c r="J14" s="28"/>
      <c r="K14" s="29"/>
    </row>
    <row r="15" spans="1:12" ht="18.75" customHeight="1" x14ac:dyDescent="0.3">
      <c r="A15" s="57" t="s">
        <v>408</v>
      </c>
      <c r="B15" s="52"/>
      <c r="C15" s="58">
        <v>470</v>
      </c>
      <c r="D15" s="52"/>
      <c r="E15" s="1"/>
      <c r="F15" s="52"/>
      <c r="G15" s="59">
        <f t="shared" si="0"/>
        <v>0</v>
      </c>
      <c r="H15" s="52"/>
      <c r="I15" s="52"/>
      <c r="J15" s="28"/>
      <c r="K15" s="29"/>
    </row>
    <row r="16" spans="1:12" ht="18.75" customHeight="1" x14ac:dyDescent="0.3">
      <c r="A16" s="57" t="s">
        <v>194</v>
      </c>
      <c r="B16" s="52"/>
      <c r="C16" s="58">
        <v>897</v>
      </c>
      <c r="D16" s="52"/>
      <c r="E16" s="1"/>
      <c r="F16" s="52"/>
      <c r="G16" s="59">
        <f t="shared" si="0"/>
        <v>0</v>
      </c>
      <c r="H16" s="52"/>
      <c r="I16" s="52"/>
      <c r="J16" s="28"/>
      <c r="K16" s="29"/>
    </row>
    <row r="17" spans="1:11" ht="18.75" customHeight="1" x14ac:dyDescent="0.3">
      <c r="A17" s="57" t="s">
        <v>23</v>
      </c>
      <c r="B17" s="52"/>
      <c r="C17" s="58">
        <v>296</v>
      </c>
      <c r="D17" s="52"/>
      <c r="E17" s="1"/>
      <c r="F17" s="52"/>
      <c r="G17" s="59">
        <f t="shared" si="0"/>
        <v>0</v>
      </c>
      <c r="H17" s="52"/>
      <c r="I17" s="52"/>
      <c r="J17" s="28"/>
      <c r="K17" s="29"/>
    </row>
    <row r="18" spans="1:11" ht="18.75" customHeight="1" x14ac:dyDescent="0.3">
      <c r="A18" s="57" t="s">
        <v>409</v>
      </c>
      <c r="B18" s="52"/>
      <c r="C18" s="58">
        <v>916</v>
      </c>
      <c r="D18" s="52"/>
      <c r="E18" s="1"/>
      <c r="F18" s="52"/>
      <c r="G18" s="59">
        <f t="shared" si="0"/>
        <v>0</v>
      </c>
      <c r="H18" s="52"/>
      <c r="I18" s="52"/>
      <c r="J18" s="28"/>
      <c r="K18" s="29"/>
    </row>
    <row r="19" spans="1:11" ht="18.75" customHeight="1" x14ac:dyDescent="0.3">
      <c r="A19" s="57" t="s">
        <v>410</v>
      </c>
      <c r="B19" s="52"/>
      <c r="C19" s="58">
        <v>388</v>
      </c>
      <c r="D19" s="52"/>
      <c r="E19" s="1"/>
      <c r="F19" s="52"/>
      <c r="G19" s="59">
        <f t="shared" si="0"/>
        <v>0</v>
      </c>
      <c r="H19" s="52"/>
      <c r="I19" s="52"/>
      <c r="J19" s="28"/>
      <c r="K19" s="29"/>
    </row>
    <row r="20" spans="1:11" ht="18.75" customHeight="1" x14ac:dyDescent="0.3">
      <c r="A20" s="57" t="s">
        <v>411</v>
      </c>
      <c r="B20" s="52"/>
      <c r="C20" s="58">
        <v>285</v>
      </c>
      <c r="D20" s="52"/>
      <c r="E20" s="1"/>
      <c r="F20" s="52"/>
      <c r="G20" s="59">
        <f t="shared" si="0"/>
        <v>0</v>
      </c>
      <c r="H20" s="52"/>
      <c r="I20" s="52"/>
      <c r="J20" s="28"/>
      <c r="K20" s="29"/>
    </row>
    <row r="21" spans="1:11" ht="18.75" customHeight="1" x14ac:dyDescent="0.3">
      <c r="A21" s="57" t="s">
        <v>412</v>
      </c>
      <c r="B21" s="52"/>
      <c r="C21" s="58">
        <v>876</v>
      </c>
      <c r="D21" s="52"/>
      <c r="E21" s="1"/>
      <c r="F21" s="52"/>
      <c r="G21" s="59">
        <f t="shared" si="0"/>
        <v>0</v>
      </c>
      <c r="H21" s="52"/>
      <c r="I21" s="52"/>
      <c r="J21" s="28"/>
      <c r="K21" s="29"/>
    </row>
    <row r="22" spans="1:11" ht="18.75" customHeight="1" x14ac:dyDescent="0.3">
      <c r="A22" s="57" t="s">
        <v>413</v>
      </c>
      <c r="B22" s="52"/>
      <c r="C22" s="58">
        <v>521</v>
      </c>
      <c r="D22" s="52"/>
      <c r="E22" s="1"/>
      <c r="F22" s="52"/>
      <c r="G22" s="59">
        <f t="shared" si="0"/>
        <v>0</v>
      </c>
      <c r="H22" s="52"/>
      <c r="I22" s="52"/>
      <c r="J22" s="28"/>
      <c r="K22" s="29"/>
    </row>
    <row r="23" spans="1:11" ht="18.75" customHeight="1" x14ac:dyDescent="0.3">
      <c r="A23" s="57" t="s">
        <v>414</v>
      </c>
      <c r="B23" s="52"/>
      <c r="C23" s="58">
        <v>1889</v>
      </c>
      <c r="D23" s="52"/>
      <c r="E23" s="1"/>
      <c r="F23" s="52"/>
      <c r="G23" s="59">
        <f t="shared" si="0"/>
        <v>0</v>
      </c>
      <c r="H23" s="52"/>
      <c r="I23" s="52"/>
      <c r="J23" s="28"/>
      <c r="K23" s="29"/>
    </row>
    <row r="24" spans="1:11" ht="18.75" customHeight="1" x14ac:dyDescent="0.3">
      <c r="A24" s="57" t="s">
        <v>415</v>
      </c>
      <c r="B24" s="52"/>
      <c r="C24" s="58">
        <v>1018</v>
      </c>
      <c r="D24" s="52"/>
      <c r="E24" s="1"/>
      <c r="F24" s="52"/>
      <c r="G24" s="59">
        <f t="shared" si="0"/>
        <v>0</v>
      </c>
      <c r="H24" s="52"/>
      <c r="I24" s="52"/>
      <c r="J24" s="28"/>
      <c r="K24" s="29"/>
    </row>
    <row r="25" spans="1:11" ht="18.75" customHeight="1" x14ac:dyDescent="0.3">
      <c r="A25" s="57" t="s">
        <v>130</v>
      </c>
      <c r="B25" s="52"/>
      <c r="C25" s="58">
        <v>540</v>
      </c>
      <c r="D25" s="52"/>
      <c r="E25" s="1"/>
      <c r="F25" s="52"/>
      <c r="G25" s="59">
        <f t="shared" si="0"/>
        <v>0</v>
      </c>
      <c r="H25" s="52"/>
      <c r="I25" s="52"/>
      <c r="J25" s="28"/>
      <c r="K25" s="29"/>
    </row>
    <row r="26" spans="1:11" ht="18.75" customHeight="1" x14ac:dyDescent="0.3">
      <c r="A26" s="57" t="s">
        <v>416</v>
      </c>
      <c r="B26" s="52"/>
      <c r="C26" s="58">
        <v>285</v>
      </c>
      <c r="D26" s="52"/>
      <c r="E26" s="1"/>
      <c r="F26" s="52"/>
      <c r="G26" s="59">
        <f t="shared" si="0"/>
        <v>0</v>
      </c>
      <c r="H26" s="52"/>
      <c r="I26" s="52"/>
      <c r="J26" s="28"/>
      <c r="K26" s="29"/>
    </row>
    <row r="27" spans="1:11" ht="18.75" customHeight="1" x14ac:dyDescent="0.3">
      <c r="A27" s="57" t="s">
        <v>219</v>
      </c>
      <c r="B27" s="52"/>
      <c r="C27" s="58">
        <v>4525</v>
      </c>
      <c r="D27" s="52"/>
      <c r="E27" s="1"/>
      <c r="F27" s="52"/>
      <c r="G27" s="59">
        <f t="shared" si="0"/>
        <v>0</v>
      </c>
      <c r="H27" s="52"/>
      <c r="I27" s="52"/>
      <c r="J27" s="28"/>
      <c r="K27" s="29"/>
    </row>
    <row r="28" spans="1:11" ht="18.75" customHeight="1" x14ac:dyDescent="0.3">
      <c r="A28" s="57" t="s">
        <v>220</v>
      </c>
      <c r="B28" s="52"/>
      <c r="C28" s="58">
        <v>646</v>
      </c>
      <c r="D28" s="52"/>
      <c r="E28" s="1"/>
      <c r="F28" s="52"/>
      <c r="G28" s="59">
        <f t="shared" si="0"/>
        <v>0</v>
      </c>
      <c r="H28" s="52"/>
      <c r="I28" s="52"/>
      <c r="J28" s="28"/>
      <c r="K28" s="29"/>
    </row>
    <row r="29" spans="1:11" ht="18.75" customHeight="1" x14ac:dyDescent="0.3">
      <c r="A29" s="57" t="s">
        <v>223</v>
      </c>
      <c r="B29" s="52"/>
      <c r="C29" s="58">
        <v>462</v>
      </c>
      <c r="D29" s="52"/>
      <c r="E29" s="1"/>
      <c r="F29" s="52"/>
      <c r="G29" s="59">
        <f t="shared" si="0"/>
        <v>0</v>
      </c>
      <c r="H29" s="52"/>
      <c r="I29" s="52"/>
      <c r="J29" s="28"/>
      <c r="K29" s="29"/>
    </row>
    <row r="30" spans="1:11" ht="18.75" customHeight="1" x14ac:dyDescent="0.3">
      <c r="A30" s="57" t="s">
        <v>417</v>
      </c>
      <c r="B30" s="52"/>
      <c r="C30" s="58">
        <v>1982</v>
      </c>
      <c r="D30" s="52"/>
      <c r="E30" s="1"/>
      <c r="F30" s="52"/>
      <c r="G30" s="59">
        <f t="shared" si="0"/>
        <v>0</v>
      </c>
      <c r="H30" s="52"/>
      <c r="I30" s="52"/>
      <c r="J30" s="28"/>
      <c r="K30" s="29"/>
    </row>
    <row r="31" spans="1:11" ht="18.75" customHeight="1" x14ac:dyDescent="0.3">
      <c r="A31" s="57" t="s">
        <v>180</v>
      </c>
      <c r="B31" s="52"/>
      <c r="C31" s="58">
        <v>2232</v>
      </c>
      <c r="D31" s="52"/>
      <c r="E31" s="1"/>
      <c r="F31" s="52"/>
      <c r="G31" s="59">
        <f t="shared" si="0"/>
        <v>0</v>
      </c>
      <c r="H31" s="52"/>
      <c r="I31" s="52"/>
      <c r="J31" s="28"/>
      <c r="K31" s="29"/>
    </row>
    <row r="32" spans="1:11" ht="18.75" customHeight="1" x14ac:dyDescent="0.3">
      <c r="A32" s="57" t="s">
        <v>418</v>
      </c>
      <c r="B32" s="52"/>
      <c r="C32" s="58">
        <v>2933</v>
      </c>
      <c r="D32" s="52"/>
      <c r="E32" s="1"/>
      <c r="F32" s="52"/>
      <c r="G32" s="59">
        <f t="shared" si="0"/>
        <v>0</v>
      </c>
      <c r="H32" s="52"/>
      <c r="I32" s="52"/>
      <c r="J32" s="28"/>
      <c r="K32" s="29"/>
    </row>
    <row r="33" spans="1:11" ht="18.75" customHeight="1" x14ac:dyDescent="0.3">
      <c r="A33" s="57" t="s">
        <v>139</v>
      </c>
      <c r="B33" s="52"/>
      <c r="C33" s="58">
        <v>420</v>
      </c>
      <c r="D33" s="52"/>
      <c r="E33" s="1"/>
      <c r="F33" s="52"/>
      <c r="G33" s="59">
        <f t="shared" si="0"/>
        <v>0</v>
      </c>
      <c r="H33" s="52"/>
      <c r="I33" s="52"/>
      <c r="J33" s="28"/>
      <c r="K33" s="29"/>
    </row>
    <row r="34" spans="1:11" ht="18.75" customHeight="1" x14ac:dyDescent="0.3">
      <c r="A34" s="57" t="s">
        <v>419</v>
      </c>
      <c r="B34" s="52"/>
      <c r="C34" s="58">
        <v>3932</v>
      </c>
      <c r="D34" s="52"/>
      <c r="E34" s="1"/>
      <c r="F34" s="52"/>
      <c r="G34" s="59">
        <f t="shared" si="0"/>
        <v>0</v>
      </c>
      <c r="H34" s="52"/>
      <c r="I34" s="52"/>
      <c r="J34" s="28"/>
      <c r="K34" s="29"/>
    </row>
    <row r="35" spans="1:11" ht="18.75" customHeight="1" x14ac:dyDescent="0.3">
      <c r="A35" s="57" t="s">
        <v>140</v>
      </c>
      <c r="B35" s="52"/>
      <c r="C35" s="58">
        <v>1880</v>
      </c>
      <c r="D35" s="52"/>
      <c r="E35" s="1"/>
      <c r="F35" s="52"/>
      <c r="G35" s="59">
        <f t="shared" si="0"/>
        <v>0</v>
      </c>
      <c r="H35" s="52"/>
      <c r="I35" s="52"/>
      <c r="J35" s="28"/>
      <c r="K35" s="29"/>
    </row>
    <row r="36" spans="1:11" ht="18.75" customHeight="1" x14ac:dyDescent="0.3">
      <c r="A36" s="57" t="s">
        <v>41</v>
      </c>
      <c r="B36" s="52"/>
      <c r="C36" s="58">
        <v>1052</v>
      </c>
      <c r="D36" s="52"/>
      <c r="E36" s="1"/>
      <c r="F36" s="52"/>
      <c r="G36" s="59">
        <f t="shared" si="0"/>
        <v>0</v>
      </c>
      <c r="H36" s="52"/>
      <c r="I36" s="52"/>
      <c r="J36" s="28"/>
      <c r="K36" s="29"/>
    </row>
    <row r="37" spans="1:11" ht="18.75" customHeight="1" x14ac:dyDescent="0.3">
      <c r="A37" s="57" t="s">
        <v>420</v>
      </c>
      <c r="B37" s="52"/>
      <c r="C37" s="58">
        <v>262</v>
      </c>
      <c r="D37" s="52"/>
      <c r="E37" s="1"/>
      <c r="F37" s="52"/>
      <c r="G37" s="59">
        <f t="shared" si="0"/>
        <v>0</v>
      </c>
      <c r="H37" s="52"/>
      <c r="I37" s="52"/>
      <c r="J37" s="28"/>
      <c r="K37" s="29"/>
    </row>
    <row r="38" spans="1:11" ht="18.75" customHeight="1" x14ac:dyDescent="0.3">
      <c r="A38" s="57" t="s">
        <v>42</v>
      </c>
      <c r="B38" s="52"/>
      <c r="C38" s="58">
        <v>286</v>
      </c>
      <c r="D38" s="52"/>
      <c r="E38" s="1"/>
      <c r="F38" s="52"/>
      <c r="G38" s="59">
        <f t="shared" si="0"/>
        <v>0</v>
      </c>
      <c r="H38" s="52"/>
      <c r="I38" s="52"/>
      <c r="J38" s="28"/>
      <c r="K38" s="29"/>
    </row>
    <row r="39" spans="1:11" ht="18.75" customHeight="1" x14ac:dyDescent="0.25">
      <c r="A39" s="57" t="s">
        <v>421</v>
      </c>
      <c r="B39" s="53"/>
      <c r="C39" s="58">
        <v>1225</v>
      </c>
      <c r="D39" s="53"/>
      <c r="E39" s="1"/>
      <c r="F39" s="53"/>
      <c r="G39" s="59">
        <f t="shared" si="0"/>
        <v>0</v>
      </c>
      <c r="H39" s="53"/>
      <c r="I39" s="53"/>
      <c r="J39" s="29"/>
      <c r="K39" s="29"/>
    </row>
    <row r="40" spans="1:11" ht="18.75" customHeight="1" x14ac:dyDescent="0.25">
      <c r="A40" s="57" t="s">
        <v>422</v>
      </c>
      <c r="B40" s="53"/>
      <c r="C40" s="58">
        <v>968</v>
      </c>
      <c r="D40" s="53"/>
      <c r="E40" s="1"/>
      <c r="F40" s="53"/>
      <c r="G40" s="59">
        <f t="shared" si="0"/>
        <v>0</v>
      </c>
      <c r="H40" s="53"/>
      <c r="I40" s="53"/>
      <c r="J40" s="29"/>
      <c r="K40" s="29"/>
    </row>
    <row r="41" spans="1:11" ht="18.75" customHeight="1" x14ac:dyDescent="0.25">
      <c r="A41" s="57" t="s">
        <v>423</v>
      </c>
      <c r="B41" s="53"/>
      <c r="C41" s="58">
        <v>538</v>
      </c>
      <c r="D41" s="53"/>
      <c r="E41" s="1"/>
      <c r="F41" s="53"/>
      <c r="G41" s="59">
        <f t="shared" si="0"/>
        <v>0</v>
      </c>
      <c r="H41" s="53"/>
      <c r="I41" s="53"/>
      <c r="J41" s="29"/>
      <c r="K41" s="29"/>
    </row>
    <row r="42" spans="1:11" ht="18.75" customHeight="1" x14ac:dyDescent="0.25">
      <c r="A42" s="57" t="s">
        <v>45</v>
      </c>
      <c r="B42" s="53"/>
      <c r="C42" s="58">
        <v>512</v>
      </c>
      <c r="D42" s="53"/>
      <c r="E42" s="1"/>
      <c r="F42" s="53"/>
      <c r="G42" s="59">
        <f t="shared" si="0"/>
        <v>0</v>
      </c>
      <c r="H42" s="53"/>
      <c r="I42" s="53"/>
      <c r="J42" s="29"/>
      <c r="K42" s="29"/>
    </row>
    <row r="43" spans="1:11" ht="18.75" customHeight="1" x14ac:dyDescent="0.25">
      <c r="A43" s="57" t="s">
        <v>424</v>
      </c>
      <c r="B43" s="53"/>
      <c r="C43" s="58">
        <v>236</v>
      </c>
      <c r="D43" s="53"/>
      <c r="E43" s="1"/>
      <c r="F43" s="53"/>
      <c r="G43" s="59">
        <f t="shared" si="0"/>
        <v>0</v>
      </c>
      <c r="H43" s="53"/>
      <c r="I43" s="53"/>
      <c r="J43" s="29"/>
      <c r="K43" s="29"/>
    </row>
    <row r="44" spans="1:11" ht="18.75" customHeight="1" x14ac:dyDescent="0.25">
      <c r="A44" s="57" t="s">
        <v>425</v>
      </c>
      <c r="B44" s="53"/>
      <c r="C44" s="58">
        <v>720</v>
      </c>
      <c r="D44" s="53"/>
      <c r="E44" s="1"/>
      <c r="F44" s="53"/>
      <c r="G44" s="59">
        <f t="shared" si="0"/>
        <v>0</v>
      </c>
      <c r="H44" s="53"/>
      <c r="I44" s="53"/>
      <c r="J44" s="29"/>
      <c r="K44" s="29"/>
    </row>
    <row r="45" spans="1:11" ht="18.75" customHeight="1" x14ac:dyDescent="0.25">
      <c r="A45" s="57" t="s">
        <v>142</v>
      </c>
      <c r="B45" s="53"/>
      <c r="C45" s="58">
        <v>900</v>
      </c>
      <c r="D45" s="53"/>
      <c r="E45" s="1"/>
      <c r="F45" s="53"/>
      <c r="G45" s="59">
        <f t="shared" si="0"/>
        <v>0</v>
      </c>
      <c r="H45" s="53"/>
      <c r="I45" s="53"/>
      <c r="J45" s="29"/>
      <c r="K45" s="29"/>
    </row>
    <row r="46" spans="1:11" ht="18.75" customHeight="1" x14ac:dyDescent="0.25">
      <c r="A46" s="57" t="s">
        <v>52</v>
      </c>
      <c r="B46" s="53"/>
      <c r="C46" s="58">
        <v>680</v>
      </c>
      <c r="D46" s="53"/>
      <c r="E46" s="1"/>
      <c r="F46" s="53"/>
      <c r="G46" s="59">
        <f t="shared" si="0"/>
        <v>0</v>
      </c>
      <c r="H46" s="53"/>
      <c r="I46" s="53"/>
      <c r="J46" s="29"/>
      <c r="K46" s="29"/>
    </row>
    <row r="47" spans="1:11" ht="18.75" customHeight="1" x14ac:dyDescent="0.25">
      <c r="A47" s="57" t="s">
        <v>426</v>
      </c>
      <c r="B47" s="53"/>
      <c r="C47" s="58">
        <v>465</v>
      </c>
      <c r="D47" s="53"/>
      <c r="E47" s="1"/>
      <c r="F47" s="53"/>
      <c r="G47" s="59">
        <f t="shared" si="0"/>
        <v>0</v>
      </c>
      <c r="H47" s="53"/>
      <c r="I47" s="53"/>
      <c r="J47" s="29"/>
      <c r="K47" s="29"/>
    </row>
    <row r="48" spans="1:11" ht="18.75" customHeight="1" x14ac:dyDescent="0.25">
      <c r="A48" s="57" t="s">
        <v>427</v>
      </c>
      <c r="B48" s="53"/>
      <c r="C48" s="58">
        <v>622</v>
      </c>
      <c r="D48" s="53"/>
      <c r="E48" s="1"/>
      <c r="F48" s="53"/>
      <c r="G48" s="59">
        <f t="shared" si="0"/>
        <v>0</v>
      </c>
      <c r="H48" s="53"/>
      <c r="I48" s="53"/>
      <c r="J48" s="29"/>
      <c r="K48" s="29"/>
    </row>
    <row r="49" spans="1:11" ht="18.75" customHeight="1" x14ac:dyDescent="0.25">
      <c r="A49" s="57" t="s">
        <v>428</v>
      </c>
      <c r="B49" s="53"/>
      <c r="C49" s="58">
        <v>255</v>
      </c>
      <c r="D49" s="53"/>
      <c r="E49" s="1"/>
      <c r="F49" s="53"/>
      <c r="G49" s="59">
        <f t="shared" si="0"/>
        <v>0</v>
      </c>
      <c r="H49" s="53"/>
      <c r="I49" s="53"/>
      <c r="J49" s="29"/>
      <c r="K49" s="29"/>
    </row>
    <row r="50" spans="1:11" ht="18.75" customHeight="1" x14ac:dyDescent="0.25">
      <c r="A50" s="57" t="s">
        <v>429</v>
      </c>
      <c r="B50" s="53"/>
      <c r="C50" s="58">
        <v>497</v>
      </c>
      <c r="D50" s="53"/>
      <c r="E50" s="1"/>
      <c r="F50" s="53"/>
      <c r="G50" s="59">
        <f t="shared" si="0"/>
        <v>0</v>
      </c>
      <c r="H50" s="53"/>
      <c r="I50" s="53"/>
      <c r="J50" s="29"/>
      <c r="K50" s="29"/>
    </row>
    <row r="51" spans="1:11" ht="18.75" customHeight="1" x14ac:dyDescent="0.25">
      <c r="A51" s="57" t="s">
        <v>430</v>
      </c>
      <c r="B51" s="53"/>
      <c r="C51" s="58">
        <v>1578</v>
      </c>
      <c r="D51" s="53"/>
      <c r="E51" s="1"/>
      <c r="F51" s="53"/>
      <c r="G51" s="59">
        <f t="shared" si="0"/>
        <v>0</v>
      </c>
      <c r="H51" s="53"/>
      <c r="I51" s="53"/>
      <c r="J51" s="29"/>
      <c r="K51" s="29"/>
    </row>
    <row r="52" spans="1:11" ht="18.75" customHeight="1" x14ac:dyDescent="0.25">
      <c r="A52" s="57" t="s">
        <v>144</v>
      </c>
      <c r="B52" s="53"/>
      <c r="C52" s="58">
        <v>658</v>
      </c>
      <c r="D52" s="53"/>
      <c r="E52" s="1"/>
      <c r="F52" s="53"/>
      <c r="G52" s="59">
        <f t="shared" si="0"/>
        <v>0</v>
      </c>
      <c r="H52" s="53"/>
      <c r="I52" s="53"/>
      <c r="J52" s="29"/>
      <c r="K52" s="29"/>
    </row>
    <row r="53" spans="1:11" ht="18.75" customHeight="1" x14ac:dyDescent="0.25">
      <c r="A53" s="57" t="s">
        <v>431</v>
      </c>
      <c r="B53" s="53"/>
      <c r="C53" s="58">
        <v>873</v>
      </c>
      <c r="D53" s="53"/>
      <c r="E53" s="1"/>
      <c r="F53" s="53"/>
      <c r="G53" s="59">
        <f t="shared" si="0"/>
        <v>0</v>
      </c>
      <c r="H53" s="53"/>
      <c r="I53" s="53"/>
      <c r="J53" s="29"/>
      <c r="K53" s="29"/>
    </row>
    <row r="54" spans="1:11" ht="18.75" customHeight="1" x14ac:dyDescent="0.25">
      <c r="A54" s="57" t="s">
        <v>432</v>
      </c>
      <c r="B54" s="53"/>
      <c r="C54" s="58">
        <v>753</v>
      </c>
      <c r="D54" s="53"/>
      <c r="E54" s="1"/>
      <c r="F54" s="53"/>
      <c r="G54" s="59">
        <f t="shared" si="0"/>
        <v>0</v>
      </c>
      <c r="H54" s="53"/>
      <c r="I54" s="53"/>
      <c r="J54" s="29"/>
      <c r="K54" s="29"/>
    </row>
    <row r="55" spans="1:11" ht="18.75" customHeight="1" x14ac:dyDescent="0.25">
      <c r="A55" s="57" t="s">
        <v>433</v>
      </c>
      <c r="B55" s="53"/>
      <c r="C55" s="58">
        <v>318</v>
      </c>
      <c r="D55" s="53"/>
      <c r="E55" s="1"/>
      <c r="F55" s="53"/>
      <c r="G55" s="59">
        <f t="shared" si="0"/>
        <v>0</v>
      </c>
      <c r="H55" s="53"/>
      <c r="I55" s="53"/>
      <c r="J55" s="29"/>
      <c r="K55" s="29"/>
    </row>
    <row r="56" spans="1:11" ht="18.75" customHeight="1" x14ac:dyDescent="0.25">
      <c r="A56" s="57" t="s">
        <v>145</v>
      </c>
      <c r="B56" s="53"/>
      <c r="C56" s="58">
        <v>570</v>
      </c>
      <c r="D56" s="53"/>
      <c r="E56" s="1"/>
      <c r="F56" s="53"/>
      <c r="G56" s="59">
        <f t="shared" si="0"/>
        <v>0</v>
      </c>
      <c r="H56" s="53"/>
      <c r="I56" s="53"/>
      <c r="J56" s="29"/>
      <c r="K56" s="29"/>
    </row>
    <row r="57" spans="1:11" ht="18.75" customHeight="1" x14ac:dyDescent="0.25">
      <c r="A57" s="57" t="s">
        <v>146</v>
      </c>
      <c r="B57" s="53"/>
      <c r="C57" s="58">
        <v>937</v>
      </c>
      <c r="D57" s="53"/>
      <c r="E57" s="1"/>
      <c r="F57" s="53"/>
      <c r="G57" s="59">
        <f t="shared" si="0"/>
        <v>0</v>
      </c>
      <c r="H57" s="53"/>
      <c r="I57" s="53"/>
      <c r="J57" s="29"/>
      <c r="K57" s="29"/>
    </row>
    <row r="58" spans="1:11" ht="18.75" customHeight="1" x14ac:dyDescent="0.25">
      <c r="A58" s="57" t="s">
        <v>282</v>
      </c>
      <c r="B58" s="53"/>
      <c r="C58" s="58">
        <v>483</v>
      </c>
      <c r="D58" s="53"/>
      <c r="E58" s="1"/>
      <c r="F58" s="53"/>
      <c r="G58" s="59">
        <f t="shared" si="0"/>
        <v>0</v>
      </c>
      <c r="H58" s="53"/>
      <c r="I58" s="53"/>
      <c r="J58" s="29"/>
      <c r="K58" s="29"/>
    </row>
    <row r="59" spans="1:11" ht="18.75" customHeight="1" x14ac:dyDescent="0.25">
      <c r="A59" s="57" t="s">
        <v>283</v>
      </c>
      <c r="B59" s="53"/>
      <c r="C59" s="58">
        <v>360</v>
      </c>
      <c r="D59" s="53"/>
      <c r="E59" s="1"/>
      <c r="F59" s="53"/>
      <c r="G59" s="59">
        <f t="shared" si="0"/>
        <v>0</v>
      </c>
      <c r="H59" s="53"/>
      <c r="I59" s="53"/>
      <c r="J59" s="29"/>
      <c r="K59" s="29"/>
    </row>
    <row r="60" spans="1:11" ht="18.75" customHeight="1" x14ac:dyDescent="0.25">
      <c r="A60" s="57" t="s">
        <v>284</v>
      </c>
      <c r="B60" s="53"/>
      <c r="C60" s="58">
        <v>696</v>
      </c>
      <c r="D60" s="53"/>
      <c r="E60" s="1"/>
      <c r="F60" s="53"/>
      <c r="G60" s="59">
        <f t="shared" si="0"/>
        <v>0</v>
      </c>
      <c r="H60" s="53"/>
      <c r="I60" s="53"/>
      <c r="J60" s="29"/>
      <c r="K60" s="29"/>
    </row>
    <row r="61" spans="1:11" ht="18.75" customHeight="1" x14ac:dyDescent="0.25">
      <c r="A61" s="57" t="s">
        <v>285</v>
      </c>
      <c r="B61" s="53"/>
      <c r="C61" s="58">
        <v>2692</v>
      </c>
      <c r="D61" s="53"/>
      <c r="E61" s="1"/>
      <c r="F61" s="53"/>
      <c r="G61" s="59">
        <f t="shared" si="0"/>
        <v>0</v>
      </c>
      <c r="H61" s="53"/>
      <c r="I61" s="53"/>
      <c r="J61" s="29"/>
      <c r="K61" s="29"/>
    </row>
    <row r="62" spans="1:11" ht="18.75" customHeight="1" x14ac:dyDescent="0.25">
      <c r="A62" s="57" t="s">
        <v>154</v>
      </c>
      <c r="B62" s="53"/>
      <c r="C62" s="58">
        <v>2586</v>
      </c>
      <c r="D62" s="53"/>
      <c r="E62" s="1"/>
      <c r="F62" s="53"/>
      <c r="G62" s="59">
        <f t="shared" si="0"/>
        <v>0</v>
      </c>
      <c r="H62" s="53"/>
      <c r="I62" s="53"/>
      <c r="J62" s="29"/>
      <c r="K62" s="29"/>
    </row>
    <row r="63" spans="1:11" ht="18.75" customHeight="1" x14ac:dyDescent="0.25">
      <c r="A63" s="57" t="s">
        <v>308</v>
      </c>
      <c r="B63" s="53"/>
      <c r="C63" s="58">
        <v>1429</v>
      </c>
      <c r="D63" s="53"/>
      <c r="E63" s="1"/>
      <c r="F63" s="53"/>
      <c r="G63" s="59">
        <f t="shared" si="0"/>
        <v>0</v>
      </c>
      <c r="H63" s="53"/>
      <c r="I63" s="53"/>
      <c r="J63" s="29"/>
      <c r="K63" s="29"/>
    </row>
    <row r="64" spans="1:11" ht="18.75" customHeight="1" x14ac:dyDescent="0.25">
      <c r="A64" s="57" t="s">
        <v>434</v>
      </c>
      <c r="B64" s="53"/>
      <c r="C64" s="58">
        <v>1173</v>
      </c>
      <c r="D64" s="53"/>
      <c r="E64" s="1"/>
      <c r="F64" s="53"/>
      <c r="G64" s="59">
        <f t="shared" si="0"/>
        <v>0</v>
      </c>
      <c r="H64" s="53"/>
      <c r="I64" s="53"/>
      <c r="J64" s="29"/>
      <c r="K64" s="29"/>
    </row>
    <row r="65" spans="1:11" ht="18.75" customHeight="1" x14ac:dyDescent="0.25">
      <c r="A65" s="57" t="s">
        <v>435</v>
      </c>
      <c r="B65" s="53"/>
      <c r="C65" s="58">
        <v>625</v>
      </c>
      <c r="D65" s="53"/>
      <c r="E65" s="1"/>
      <c r="F65" s="53"/>
      <c r="G65" s="59">
        <f t="shared" si="0"/>
        <v>0</v>
      </c>
      <c r="H65" s="53"/>
      <c r="I65" s="53"/>
      <c r="J65" s="29"/>
      <c r="K65" s="29"/>
    </row>
    <row r="66" spans="1:11" ht="18.75" customHeight="1" x14ac:dyDescent="0.25">
      <c r="A66" s="57" t="s">
        <v>67</v>
      </c>
      <c r="B66" s="53"/>
      <c r="C66" s="58">
        <v>1012</v>
      </c>
      <c r="D66" s="53"/>
      <c r="E66" s="1"/>
      <c r="F66" s="53"/>
      <c r="G66" s="59">
        <f t="shared" si="0"/>
        <v>0</v>
      </c>
      <c r="H66" s="53"/>
      <c r="I66" s="53"/>
      <c r="J66" s="29"/>
      <c r="K66" s="29"/>
    </row>
    <row r="67" spans="1:11" ht="18.75" customHeight="1" x14ac:dyDescent="0.25">
      <c r="A67" s="57" t="s">
        <v>156</v>
      </c>
      <c r="B67" s="53"/>
      <c r="C67" s="58">
        <v>4311</v>
      </c>
      <c r="D67" s="53"/>
      <c r="E67" s="1"/>
      <c r="F67" s="53"/>
      <c r="G67" s="59">
        <f t="shared" si="0"/>
        <v>0</v>
      </c>
      <c r="H67" s="53"/>
      <c r="I67" s="53"/>
      <c r="J67" s="29"/>
      <c r="K67" s="29"/>
    </row>
    <row r="68" spans="1:11" ht="18.75" customHeight="1" x14ac:dyDescent="0.25">
      <c r="A68" s="57" t="s">
        <v>436</v>
      </c>
      <c r="B68" s="53"/>
      <c r="C68" s="58">
        <v>1763</v>
      </c>
      <c r="D68" s="53"/>
      <c r="E68" s="1"/>
      <c r="F68" s="53"/>
      <c r="G68" s="59">
        <f t="shared" si="0"/>
        <v>0</v>
      </c>
      <c r="H68" s="53"/>
      <c r="I68" s="53"/>
      <c r="J68" s="29"/>
      <c r="K68" s="29"/>
    </row>
    <row r="69" spans="1:11" ht="18.75" customHeight="1" x14ac:dyDescent="0.25">
      <c r="A69" s="57" t="s">
        <v>437</v>
      </c>
      <c r="B69" s="53"/>
      <c r="C69" s="58">
        <v>875</v>
      </c>
      <c r="D69" s="53"/>
      <c r="E69" s="1"/>
      <c r="F69" s="53"/>
      <c r="G69" s="59">
        <f t="shared" si="0"/>
        <v>0</v>
      </c>
      <c r="H69" s="53"/>
      <c r="I69" s="53"/>
      <c r="J69" s="29"/>
      <c r="K69" s="29"/>
    </row>
    <row r="70" spans="1:11" ht="18.75" customHeight="1" x14ac:dyDescent="0.25">
      <c r="A70" s="57" t="s">
        <v>438</v>
      </c>
      <c r="B70" s="53"/>
      <c r="C70" s="58">
        <v>575</v>
      </c>
      <c r="D70" s="53"/>
      <c r="E70" s="1"/>
      <c r="F70" s="53"/>
      <c r="G70" s="59">
        <f t="shared" si="0"/>
        <v>0</v>
      </c>
      <c r="H70" s="53"/>
      <c r="I70" s="53"/>
      <c r="J70" s="29"/>
      <c r="K70" s="29"/>
    </row>
    <row r="71" spans="1:11" ht="18.75" customHeight="1" x14ac:dyDescent="0.25">
      <c r="A71" s="57" t="s">
        <v>439</v>
      </c>
      <c r="B71" s="53"/>
      <c r="C71" s="58">
        <v>1230</v>
      </c>
      <c r="D71" s="53"/>
      <c r="E71" s="1"/>
      <c r="F71" s="53"/>
      <c r="G71" s="59">
        <f t="shared" si="0"/>
        <v>0</v>
      </c>
      <c r="H71" s="53"/>
      <c r="I71" s="53"/>
      <c r="J71" s="29"/>
      <c r="K71" s="29"/>
    </row>
    <row r="72" spans="1:11" ht="18.75" customHeight="1" x14ac:dyDescent="0.25">
      <c r="A72" s="57" t="s">
        <v>440</v>
      </c>
      <c r="B72" s="53"/>
      <c r="C72" s="58">
        <v>1450</v>
      </c>
      <c r="D72" s="53"/>
      <c r="E72" s="1"/>
      <c r="F72" s="53"/>
      <c r="G72" s="59">
        <f t="shared" si="0"/>
        <v>0</v>
      </c>
      <c r="H72" s="53"/>
      <c r="I72" s="53"/>
      <c r="J72" s="29"/>
      <c r="K72" s="29"/>
    </row>
    <row r="73" spans="1:11" ht="18.75" customHeight="1" x14ac:dyDescent="0.25">
      <c r="A73" s="57" t="s">
        <v>441</v>
      </c>
      <c r="B73" s="53"/>
      <c r="C73" s="58">
        <v>1960</v>
      </c>
      <c r="D73" s="53"/>
      <c r="E73" s="1"/>
      <c r="F73" s="53"/>
      <c r="G73" s="59">
        <f t="shared" ref="G73:G111" si="1">C73*E73</f>
        <v>0</v>
      </c>
      <c r="H73" s="53"/>
      <c r="I73" s="53"/>
      <c r="J73" s="29"/>
      <c r="K73" s="29"/>
    </row>
    <row r="74" spans="1:11" ht="18.75" customHeight="1" x14ac:dyDescent="0.25">
      <c r="A74" s="57" t="s">
        <v>442</v>
      </c>
      <c r="B74" s="53"/>
      <c r="C74" s="58">
        <v>430</v>
      </c>
      <c r="D74" s="53"/>
      <c r="E74" s="1"/>
      <c r="F74" s="53"/>
      <c r="G74" s="59">
        <f t="shared" si="1"/>
        <v>0</v>
      </c>
      <c r="H74" s="53"/>
      <c r="I74" s="53"/>
      <c r="J74" s="29"/>
      <c r="K74" s="29"/>
    </row>
    <row r="75" spans="1:11" ht="18.75" customHeight="1" x14ac:dyDescent="0.25">
      <c r="A75" s="57" t="s">
        <v>443</v>
      </c>
      <c r="B75" s="53"/>
      <c r="C75" s="58">
        <v>625</v>
      </c>
      <c r="D75" s="53"/>
      <c r="E75" s="1"/>
      <c r="F75" s="53"/>
      <c r="G75" s="59">
        <f t="shared" si="1"/>
        <v>0</v>
      </c>
      <c r="H75" s="53"/>
      <c r="I75" s="53"/>
      <c r="J75" s="29"/>
      <c r="K75" s="29"/>
    </row>
    <row r="76" spans="1:11" ht="18.75" customHeight="1" x14ac:dyDescent="0.25">
      <c r="A76" s="57" t="s">
        <v>444</v>
      </c>
      <c r="B76" s="53"/>
      <c r="C76" s="58">
        <v>840</v>
      </c>
      <c r="D76" s="53"/>
      <c r="E76" s="1"/>
      <c r="F76" s="53"/>
      <c r="G76" s="59">
        <f t="shared" si="1"/>
        <v>0</v>
      </c>
      <c r="H76" s="53"/>
      <c r="I76" s="53"/>
      <c r="J76" s="29"/>
      <c r="K76" s="29"/>
    </row>
    <row r="77" spans="1:11" ht="18.75" customHeight="1" x14ac:dyDescent="0.25">
      <c r="A77" s="57" t="s">
        <v>445</v>
      </c>
      <c r="B77" s="53"/>
      <c r="C77" s="58">
        <v>602</v>
      </c>
      <c r="D77" s="53"/>
      <c r="E77" s="1"/>
      <c r="F77" s="53"/>
      <c r="G77" s="59">
        <f t="shared" si="1"/>
        <v>0</v>
      </c>
      <c r="H77" s="53"/>
      <c r="I77" s="53"/>
      <c r="J77" s="29"/>
      <c r="K77" s="29"/>
    </row>
    <row r="78" spans="1:11" ht="18.75" customHeight="1" x14ac:dyDescent="0.25">
      <c r="A78" s="57" t="s">
        <v>446</v>
      </c>
      <c r="B78" s="53"/>
      <c r="C78" s="58">
        <v>1590</v>
      </c>
      <c r="D78" s="53"/>
      <c r="E78" s="1"/>
      <c r="F78" s="53"/>
      <c r="G78" s="59">
        <f t="shared" si="1"/>
        <v>0</v>
      </c>
      <c r="H78" s="53"/>
      <c r="I78" s="53"/>
      <c r="J78" s="29"/>
      <c r="K78" s="29"/>
    </row>
    <row r="79" spans="1:11" ht="18.75" customHeight="1" x14ac:dyDescent="0.25">
      <c r="A79" s="57" t="s">
        <v>160</v>
      </c>
      <c r="B79" s="53"/>
      <c r="C79" s="58">
        <v>850</v>
      </c>
      <c r="D79" s="53"/>
      <c r="E79" s="1"/>
      <c r="F79" s="53"/>
      <c r="G79" s="59">
        <f t="shared" si="1"/>
        <v>0</v>
      </c>
      <c r="H79" s="53"/>
      <c r="I79" s="53"/>
      <c r="J79" s="29"/>
      <c r="K79" s="29"/>
    </row>
    <row r="80" spans="1:11" ht="18.75" customHeight="1" x14ac:dyDescent="0.25">
      <c r="A80" s="57" t="s">
        <v>447</v>
      </c>
      <c r="B80" s="53"/>
      <c r="C80" s="58">
        <v>280</v>
      </c>
      <c r="D80" s="53"/>
      <c r="E80" s="1"/>
      <c r="F80" s="53"/>
      <c r="G80" s="59">
        <f t="shared" si="1"/>
        <v>0</v>
      </c>
      <c r="H80" s="53"/>
      <c r="I80" s="53"/>
      <c r="J80" s="29"/>
      <c r="K80" s="29"/>
    </row>
    <row r="81" spans="1:11" ht="18.75" customHeight="1" x14ac:dyDescent="0.25">
      <c r="A81" s="57" t="s">
        <v>448</v>
      </c>
      <c r="B81" s="53"/>
      <c r="C81" s="58">
        <v>560</v>
      </c>
      <c r="D81" s="53"/>
      <c r="E81" s="1"/>
      <c r="F81" s="53"/>
      <c r="G81" s="59">
        <f t="shared" si="1"/>
        <v>0</v>
      </c>
      <c r="H81" s="53"/>
      <c r="I81" s="53"/>
      <c r="J81" s="29"/>
      <c r="K81" s="29"/>
    </row>
    <row r="82" spans="1:11" ht="18.75" customHeight="1" x14ac:dyDescent="0.25">
      <c r="A82" s="57" t="s">
        <v>162</v>
      </c>
      <c r="B82" s="53"/>
      <c r="C82" s="58">
        <v>576</v>
      </c>
      <c r="D82" s="53"/>
      <c r="E82" s="1"/>
      <c r="F82" s="53"/>
      <c r="G82" s="59">
        <f t="shared" si="1"/>
        <v>0</v>
      </c>
      <c r="H82" s="53"/>
      <c r="I82" s="53"/>
      <c r="J82" s="29"/>
      <c r="K82" s="29"/>
    </row>
    <row r="83" spans="1:11" ht="18.75" customHeight="1" x14ac:dyDescent="0.25">
      <c r="A83" s="57" t="s">
        <v>163</v>
      </c>
      <c r="B83" s="53"/>
      <c r="C83" s="58">
        <v>992</v>
      </c>
      <c r="D83" s="53"/>
      <c r="E83" s="1"/>
      <c r="F83" s="53"/>
      <c r="G83" s="59">
        <f t="shared" si="1"/>
        <v>0</v>
      </c>
      <c r="H83" s="53"/>
      <c r="I83" s="53"/>
      <c r="J83" s="29"/>
      <c r="K83" s="29"/>
    </row>
    <row r="84" spans="1:11" ht="18.75" customHeight="1" x14ac:dyDescent="0.25">
      <c r="A84" s="57" t="s">
        <v>449</v>
      </c>
      <c r="B84" s="53"/>
      <c r="C84" s="58">
        <v>1530</v>
      </c>
      <c r="D84" s="53"/>
      <c r="E84" s="1"/>
      <c r="F84" s="53"/>
      <c r="G84" s="59">
        <f t="shared" si="1"/>
        <v>0</v>
      </c>
      <c r="H84" s="53"/>
      <c r="I84" s="53"/>
      <c r="J84" s="29"/>
      <c r="K84" s="29"/>
    </row>
    <row r="85" spans="1:11" ht="18.75" customHeight="1" x14ac:dyDescent="0.25">
      <c r="A85" s="57" t="s">
        <v>450</v>
      </c>
      <c r="B85" s="53"/>
      <c r="C85" s="58">
        <v>626</v>
      </c>
      <c r="D85" s="53"/>
      <c r="E85" s="1"/>
      <c r="F85" s="53"/>
      <c r="G85" s="59">
        <f t="shared" si="1"/>
        <v>0</v>
      </c>
      <c r="H85" s="53"/>
      <c r="I85" s="53"/>
      <c r="J85" s="29"/>
      <c r="K85" s="29"/>
    </row>
    <row r="86" spans="1:11" ht="18.75" customHeight="1" x14ac:dyDescent="0.25">
      <c r="A86" s="57" t="s">
        <v>451</v>
      </c>
      <c r="B86" s="53"/>
      <c r="C86" s="58">
        <v>1752</v>
      </c>
      <c r="D86" s="53"/>
      <c r="E86" s="1"/>
      <c r="F86" s="53"/>
      <c r="G86" s="59">
        <f t="shared" si="1"/>
        <v>0</v>
      </c>
      <c r="H86" s="53"/>
      <c r="I86" s="53"/>
      <c r="J86" s="29"/>
      <c r="K86" s="29"/>
    </row>
    <row r="87" spans="1:11" ht="18.75" customHeight="1" x14ac:dyDescent="0.25">
      <c r="A87" s="57" t="s">
        <v>167</v>
      </c>
      <c r="B87" s="53"/>
      <c r="C87" s="58">
        <v>1885</v>
      </c>
      <c r="D87" s="53"/>
      <c r="E87" s="1"/>
      <c r="F87" s="53"/>
      <c r="G87" s="59">
        <f t="shared" si="1"/>
        <v>0</v>
      </c>
      <c r="H87" s="53"/>
      <c r="I87" s="53"/>
      <c r="J87" s="29"/>
      <c r="K87" s="29"/>
    </row>
    <row r="88" spans="1:11" ht="18.75" customHeight="1" x14ac:dyDescent="0.25">
      <c r="A88" s="57" t="s">
        <v>452</v>
      </c>
      <c r="B88" s="53"/>
      <c r="C88" s="58">
        <v>2461</v>
      </c>
      <c r="D88" s="53"/>
      <c r="E88" s="1"/>
      <c r="F88" s="53"/>
      <c r="G88" s="59">
        <f t="shared" si="1"/>
        <v>0</v>
      </c>
      <c r="H88" s="53"/>
      <c r="I88" s="53"/>
      <c r="J88" s="29"/>
      <c r="K88" s="29"/>
    </row>
    <row r="89" spans="1:11" ht="18.75" customHeight="1" x14ac:dyDescent="0.25">
      <c r="A89" s="57" t="s">
        <v>453</v>
      </c>
      <c r="B89" s="53"/>
      <c r="C89" s="58">
        <v>1275</v>
      </c>
      <c r="D89" s="53"/>
      <c r="E89" s="1"/>
      <c r="F89" s="53"/>
      <c r="G89" s="59">
        <f t="shared" si="1"/>
        <v>0</v>
      </c>
      <c r="H89" s="53"/>
      <c r="I89" s="53"/>
      <c r="J89" s="29"/>
      <c r="K89" s="29"/>
    </row>
    <row r="90" spans="1:11" ht="18.75" customHeight="1" x14ac:dyDescent="0.25">
      <c r="A90" s="57" t="s">
        <v>168</v>
      </c>
      <c r="B90" s="53"/>
      <c r="C90" s="58">
        <v>435</v>
      </c>
      <c r="D90" s="53"/>
      <c r="E90" s="1"/>
      <c r="F90" s="53"/>
      <c r="G90" s="59">
        <f t="shared" si="1"/>
        <v>0</v>
      </c>
      <c r="H90" s="53"/>
      <c r="I90" s="53"/>
      <c r="J90" s="29"/>
      <c r="K90" s="29"/>
    </row>
    <row r="91" spans="1:11" ht="18.75" customHeight="1" x14ac:dyDescent="0.25">
      <c r="A91" s="57" t="s">
        <v>454</v>
      </c>
      <c r="B91" s="53"/>
      <c r="C91" s="58">
        <v>1244</v>
      </c>
      <c r="D91" s="53"/>
      <c r="E91" s="1"/>
      <c r="F91" s="53"/>
      <c r="G91" s="59">
        <f t="shared" si="1"/>
        <v>0</v>
      </c>
      <c r="H91" s="53"/>
      <c r="I91" s="53"/>
      <c r="J91" s="29"/>
      <c r="K91" s="29"/>
    </row>
    <row r="92" spans="1:11" ht="18.75" customHeight="1" x14ac:dyDescent="0.25">
      <c r="A92" s="57" t="s">
        <v>455</v>
      </c>
      <c r="B92" s="53"/>
      <c r="C92" s="58">
        <v>980</v>
      </c>
      <c r="D92" s="53"/>
      <c r="E92" s="1"/>
      <c r="F92" s="53"/>
      <c r="G92" s="59">
        <f t="shared" si="1"/>
        <v>0</v>
      </c>
      <c r="H92" s="53"/>
      <c r="I92" s="53"/>
      <c r="J92" s="29"/>
      <c r="K92" s="29"/>
    </row>
    <row r="93" spans="1:11" ht="18.75" customHeight="1" x14ac:dyDescent="0.25">
      <c r="A93" s="57" t="s">
        <v>456</v>
      </c>
      <c r="B93" s="53"/>
      <c r="C93" s="58">
        <v>824</v>
      </c>
      <c r="D93" s="53"/>
      <c r="E93" s="1"/>
      <c r="F93" s="53"/>
      <c r="G93" s="59">
        <f t="shared" si="1"/>
        <v>0</v>
      </c>
      <c r="H93" s="53"/>
      <c r="I93" s="53"/>
      <c r="J93" s="29"/>
      <c r="K93" s="29"/>
    </row>
    <row r="94" spans="1:11" ht="18.75" customHeight="1" x14ac:dyDescent="0.25">
      <c r="A94" s="57" t="s">
        <v>457</v>
      </c>
      <c r="B94" s="53"/>
      <c r="C94" s="58">
        <v>780</v>
      </c>
      <c r="D94" s="53"/>
      <c r="E94" s="1"/>
      <c r="F94" s="53"/>
      <c r="G94" s="59">
        <f t="shared" si="1"/>
        <v>0</v>
      </c>
      <c r="H94" s="53"/>
      <c r="I94" s="53"/>
      <c r="J94" s="29"/>
      <c r="K94" s="29"/>
    </row>
    <row r="95" spans="1:11" ht="18.75" customHeight="1" x14ac:dyDescent="0.25">
      <c r="A95" s="57" t="s">
        <v>458</v>
      </c>
      <c r="B95" s="53"/>
      <c r="C95" s="58">
        <v>1476</v>
      </c>
      <c r="D95" s="53"/>
      <c r="E95" s="1"/>
      <c r="F95" s="53"/>
      <c r="G95" s="59">
        <f t="shared" si="1"/>
        <v>0</v>
      </c>
      <c r="H95" s="53"/>
      <c r="I95" s="53"/>
      <c r="J95" s="29"/>
      <c r="K95" s="29"/>
    </row>
    <row r="96" spans="1:11" ht="18.75" customHeight="1" x14ac:dyDescent="0.25">
      <c r="A96" s="57" t="s">
        <v>459</v>
      </c>
      <c r="B96" s="53"/>
      <c r="C96" s="58">
        <v>525</v>
      </c>
      <c r="D96" s="53"/>
      <c r="E96" s="1"/>
      <c r="F96" s="53"/>
      <c r="G96" s="59">
        <f t="shared" si="1"/>
        <v>0</v>
      </c>
      <c r="H96" s="53"/>
      <c r="I96" s="53"/>
      <c r="J96" s="29"/>
      <c r="K96" s="29"/>
    </row>
    <row r="97" spans="1:11" ht="18.75" customHeight="1" x14ac:dyDescent="0.25">
      <c r="A97" s="57" t="s">
        <v>169</v>
      </c>
      <c r="B97" s="53"/>
      <c r="C97" s="58">
        <v>420</v>
      </c>
      <c r="D97" s="53"/>
      <c r="E97" s="1"/>
      <c r="F97" s="53"/>
      <c r="G97" s="59">
        <f t="shared" si="1"/>
        <v>0</v>
      </c>
      <c r="H97" s="53"/>
      <c r="I97" s="53"/>
      <c r="J97" s="29"/>
      <c r="K97" s="29"/>
    </row>
    <row r="98" spans="1:11" ht="18.75" customHeight="1" x14ac:dyDescent="0.25">
      <c r="A98" s="57" t="s">
        <v>98</v>
      </c>
      <c r="B98" s="53"/>
      <c r="C98" s="58">
        <v>850</v>
      </c>
      <c r="D98" s="53"/>
      <c r="E98" s="1"/>
      <c r="F98" s="53"/>
      <c r="G98" s="59">
        <f t="shared" si="1"/>
        <v>0</v>
      </c>
      <c r="H98" s="53"/>
      <c r="I98" s="53"/>
      <c r="J98" s="29"/>
      <c r="K98" s="29"/>
    </row>
    <row r="99" spans="1:11" ht="18.75" customHeight="1" x14ac:dyDescent="0.25">
      <c r="A99" s="57" t="s">
        <v>460</v>
      </c>
      <c r="B99" s="53"/>
      <c r="C99" s="58">
        <v>450</v>
      </c>
      <c r="D99" s="53"/>
      <c r="E99" s="1"/>
      <c r="F99" s="53"/>
      <c r="G99" s="59">
        <f t="shared" si="1"/>
        <v>0</v>
      </c>
      <c r="H99" s="53"/>
      <c r="I99" s="53"/>
      <c r="J99" s="29"/>
      <c r="K99" s="29"/>
    </row>
    <row r="100" spans="1:11" ht="18.75" customHeight="1" x14ac:dyDescent="0.25">
      <c r="A100" s="57" t="s">
        <v>99</v>
      </c>
      <c r="B100" s="53"/>
      <c r="C100" s="58">
        <v>1425</v>
      </c>
      <c r="D100" s="53"/>
      <c r="E100" s="1"/>
      <c r="F100" s="53"/>
      <c r="G100" s="59">
        <f t="shared" si="1"/>
        <v>0</v>
      </c>
      <c r="H100" s="53"/>
      <c r="I100" s="53"/>
      <c r="J100" s="29"/>
      <c r="K100" s="29"/>
    </row>
    <row r="101" spans="1:11" ht="18.75" customHeight="1" x14ac:dyDescent="0.25">
      <c r="A101" s="57" t="s">
        <v>174</v>
      </c>
      <c r="B101" s="53"/>
      <c r="C101" s="58">
        <v>618</v>
      </c>
      <c r="D101" s="53"/>
      <c r="E101" s="1"/>
      <c r="F101" s="53"/>
      <c r="G101" s="59">
        <f t="shared" si="1"/>
        <v>0</v>
      </c>
      <c r="H101" s="53"/>
      <c r="I101" s="53"/>
      <c r="J101" s="29"/>
      <c r="K101" s="29"/>
    </row>
    <row r="102" spans="1:11" ht="18.75" customHeight="1" x14ac:dyDescent="0.25">
      <c r="A102" s="57" t="s">
        <v>461</v>
      </c>
      <c r="B102" s="53"/>
      <c r="C102" s="58">
        <v>270</v>
      </c>
      <c r="D102" s="53"/>
      <c r="E102" s="1"/>
      <c r="F102" s="53"/>
      <c r="G102" s="59">
        <f t="shared" si="1"/>
        <v>0</v>
      </c>
      <c r="H102" s="53"/>
      <c r="I102" s="53"/>
      <c r="J102" s="29"/>
      <c r="K102" s="29"/>
    </row>
    <row r="103" spans="1:11" ht="18.75" customHeight="1" x14ac:dyDescent="0.25">
      <c r="A103" s="57" t="s">
        <v>175</v>
      </c>
      <c r="B103" s="53"/>
      <c r="C103" s="58">
        <v>628</v>
      </c>
      <c r="D103" s="53"/>
      <c r="E103" s="1"/>
      <c r="F103" s="53"/>
      <c r="G103" s="59">
        <f t="shared" si="1"/>
        <v>0</v>
      </c>
      <c r="H103" s="53"/>
      <c r="I103" s="53"/>
      <c r="J103" s="29"/>
      <c r="K103" s="29"/>
    </row>
    <row r="104" spans="1:11" ht="18.75" customHeight="1" x14ac:dyDescent="0.25">
      <c r="A104" s="57" t="s">
        <v>108</v>
      </c>
      <c r="B104" s="53"/>
      <c r="C104" s="58">
        <v>1166</v>
      </c>
      <c r="D104" s="53"/>
      <c r="E104" s="1"/>
      <c r="F104" s="53"/>
      <c r="G104" s="59">
        <f t="shared" si="1"/>
        <v>0</v>
      </c>
      <c r="H104" s="53"/>
      <c r="I104" s="53"/>
      <c r="J104" s="29"/>
      <c r="K104" s="29"/>
    </row>
    <row r="105" spans="1:11" ht="18.75" customHeight="1" x14ac:dyDescent="0.25">
      <c r="A105" s="57" t="s">
        <v>176</v>
      </c>
      <c r="B105" s="53"/>
      <c r="C105" s="58">
        <v>764</v>
      </c>
      <c r="D105" s="53"/>
      <c r="E105" s="1"/>
      <c r="F105" s="53"/>
      <c r="G105" s="59">
        <f t="shared" si="1"/>
        <v>0</v>
      </c>
      <c r="H105" s="53"/>
      <c r="I105" s="53"/>
      <c r="J105" s="29"/>
      <c r="K105" s="29"/>
    </row>
    <row r="106" spans="1:11" ht="18.75" customHeight="1" x14ac:dyDescent="0.25">
      <c r="A106" s="57" t="s">
        <v>110</v>
      </c>
      <c r="B106" s="53"/>
      <c r="C106" s="58">
        <v>550</v>
      </c>
      <c r="D106" s="53"/>
      <c r="E106" s="1"/>
      <c r="F106" s="53"/>
      <c r="G106" s="59">
        <f t="shared" si="1"/>
        <v>0</v>
      </c>
      <c r="H106" s="53"/>
      <c r="I106" s="53"/>
      <c r="J106" s="29"/>
      <c r="K106" s="29"/>
    </row>
    <row r="107" spans="1:11" ht="18.75" customHeight="1" x14ac:dyDescent="0.25">
      <c r="A107" s="57" t="s">
        <v>462</v>
      </c>
      <c r="B107" s="53"/>
      <c r="C107" s="58">
        <v>240</v>
      </c>
      <c r="D107" s="53"/>
      <c r="E107" s="1"/>
      <c r="F107" s="53"/>
      <c r="G107" s="59">
        <f t="shared" si="1"/>
        <v>0</v>
      </c>
      <c r="H107" s="53"/>
      <c r="I107" s="53"/>
      <c r="J107" s="29"/>
      <c r="K107" s="29"/>
    </row>
    <row r="108" spans="1:11" ht="18.75" customHeight="1" x14ac:dyDescent="0.25">
      <c r="A108" s="57" t="s">
        <v>463</v>
      </c>
      <c r="B108" s="53"/>
      <c r="C108" s="58">
        <v>210</v>
      </c>
      <c r="D108" s="53"/>
      <c r="E108" s="1"/>
      <c r="F108" s="53"/>
      <c r="G108" s="59">
        <f t="shared" si="1"/>
        <v>0</v>
      </c>
      <c r="H108" s="53"/>
      <c r="I108" s="53"/>
      <c r="J108" s="29"/>
      <c r="K108" s="29"/>
    </row>
    <row r="109" spans="1:11" ht="18.75" customHeight="1" x14ac:dyDescent="0.25">
      <c r="A109" s="57" t="s">
        <v>464</v>
      </c>
      <c r="B109" s="53"/>
      <c r="C109" s="58">
        <v>265</v>
      </c>
      <c r="D109" s="53"/>
      <c r="E109" s="1"/>
      <c r="F109" s="53"/>
      <c r="G109" s="59">
        <f t="shared" si="1"/>
        <v>0</v>
      </c>
      <c r="H109" s="53"/>
      <c r="I109" s="53"/>
      <c r="J109" s="29"/>
      <c r="K109" s="29"/>
    </row>
    <row r="110" spans="1:11" ht="18.75" customHeight="1" x14ac:dyDescent="0.25">
      <c r="A110" s="57" t="s">
        <v>465</v>
      </c>
      <c r="B110" s="53"/>
      <c r="C110" s="58">
        <v>450</v>
      </c>
      <c r="D110" s="53"/>
      <c r="E110" s="1"/>
      <c r="F110" s="53"/>
      <c r="G110" s="59">
        <f t="shared" si="1"/>
        <v>0</v>
      </c>
      <c r="H110" s="53"/>
      <c r="I110" s="53"/>
      <c r="J110" s="29"/>
      <c r="K110" s="29"/>
    </row>
    <row r="111" spans="1:11" ht="18.75" customHeight="1" thickBot="1" x14ac:dyDescent="0.3">
      <c r="A111" s="57" t="s">
        <v>466</v>
      </c>
      <c r="B111" s="53"/>
      <c r="C111" s="58">
        <v>720</v>
      </c>
      <c r="D111" s="53"/>
      <c r="E111" s="10"/>
      <c r="F111" s="53"/>
      <c r="G111" s="59">
        <f t="shared" si="1"/>
        <v>0</v>
      </c>
      <c r="H111" s="53"/>
      <c r="I111" s="53"/>
      <c r="J111" s="29"/>
      <c r="K111" s="29"/>
    </row>
    <row r="112" spans="1:11" x14ac:dyDescent="0.25">
      <c r="A112" s="53"/>
      <c r="B112" s="53"/>
      <c r="C112" s="53"/>
      <c r="D112" s="53"/>
      <c r="E112" s="53"/>
      <c r="F112" s="53"/>
      <c r="G112" s="53"/>
      <c r="H112" s="53"/>
      <c r="I112" s="53"/>
      <c r="J112" s="29"/>
      <c r="K112" s="29"/>
    </row>
    <row r="113" spans="1:11" ht="18.75" customHeight="1" x14ac:dyDescent="0.25">
      <c r="A113" s="109" t="s">
        <v>513</v>
      </c>
      <c r="B113" s="109"/>
      <c r="C113" s="109"/>
      <c r="D113" s="109"/>
      <c r="E113" s="109"/>
      <c r="F113" s="53"/>
      <c r="G113" s="61">
        <f>SUM(G11:G111)</f>
        <v>0</v>
      </c>
      <c r="H113" s="53" t="s">
        <v>693</v>
      </c>
      <c r="I113" s="53"/>
      <c r="J113" s="29"/>
      <c r="K113" s="29"/>
    </row>
    <row r="114" spans="1:11" ht="18.75" customHeight="1" x14ac:dyDescent="0.25">
      <c r="A114" s="62" t="s">
        <v>689</v>
      </c>
      <c r="B114" s="62"/>
      <c r="C114" s="5"/>
      <c r="D114" s="62"/>
      <c r="E114" s="62" t="s">
        <v>690</v>
      </c>
      <c r="F114" s="53"/>
      <c r="G114" s="63">
        <f>C114*12</f>
        <v>0</v>
      </c>
      <c r="H114" s="53" t="s">
        <v>694</v>
      </c>
      <c r="I114" s="53"/>
      <c r="J114" s="29"/>
      <c r="K114" s="29"/>
    </row>
    <row r="115" spans="1:11" x14ac:dyDescent="0.25">
      <c r="A115" s="53"/>
      <c r="B115" s="53"/>
      <c r="C115" s="53"/>
      <c r="D115" s="53"/>
      <c r="E115" s="53"/>
      <c r="F115" s="53"/>
      <c r="G115" s="53"/>
      <c r="H115" s="53" t="s">
        <v>691</v>
      </c>
      <c r="I115" s="53"/>
      <c r="J115" s="29"/>
      <c r="K115" s="29"/>
    </row>
    <row r="116" spans="1:11" x14ac:dyDescent="0.25">
      <c r="A116" s="67" t="s">
        <v>696</v>
      </c>
      <c r="B116" s="53"/>
      <c r="C116" s="53"/>
      <c r="D116" s="53"/>
      <c r="E116" s="53"/>
      <c r="F116" s="53"/>
      <c r="G116" s="64">
        <f>G113+G114</f>
        <v>0</v>
      </c>
      <c r="H116" s="53" t="s">
        <v>695</v>
      </c>
      <c r="I116" s="53"/>
      <c r="J116" s="29"/>
      <c r="K116" s="29"/>
    </row>
    <row r="117" spans="1:11" x14ac:dyDescent="0.25">
      <c r="A117" s="67"/>
      <c r="B117" s="53"/>
      <c r="C117" s="53"/>
      <c r="D117" s="53"/>
      <c r="E117" s="53"/>
      <c r="F117" s="53"/>
      <c r="G117" s="65"/>
      <c r="H117" s="53"/>
      <c r="I117" s="53"/>
      <c r="J117" s="29"/>
      <c r="K117" s="29"/>
    </row>
    <row r="118" spans="1:11" ht="15.75" thickBot="1" x14ac:dyDescent="0.3">
      <c r="A118" s="67" t="s">
        <v>697</v>
      </c>
      <c r="B118" s="53"/>
      <c r="C118" s="53"/>
      <c r="D118" s="53"/>
      <c r="E118" s="53"/>
      <c r="F118" s="53"/>
      <c r="G118" s="66">
        <f>G116*5</f>
        <v>0</v>
      </c>
      <c r="H118" s="53"/>
      <c r="I118" s="53"/>
      <c r="J118" s="29"/>
      <c r="K118" s="29"/>
    </row>
    <row r="119" spans="1:11" x14ac:dyDescent="0.25">
      <c r="A119" s="67"/>
      <c r="B119" s="53"/>
      <c r="C119" s="53"/>
      <c r="D119" s="53"/>
      <c r="E119" s="53"/>
      <c r="F119" s="53"/>
      <c r="G119" s="65" t="s">
        <v>692</v>
      </c>
      <c r="H119" s="53"/>
      <c r="I119" s="53"/>
      <c r="J119" s="29"/>
      <c r="K119" s="29"/>
    </row>
    <row r="120" spans="1:11" x14ac:dyDescent="0.25">
      <c r="A120" s="67"/>
      <c r="B120" s="53"/>
      <c r="C120" s="53"/>
      <c r="D120" s="53"/>
      <c r="E120" s="53"/>
      <c r="F120" s="53"/>
      <c r="G120" s="65" t="s">
        <v>706</v>
      </c>
      <c r="H120" s="53"/>
      <c r="I120" s="53"/>
      <c r="J120" s="29"/>
      <c r="K120" s="29"/>
    </row>
    <row r="121" spans="1:11" x14ac:dyDescent="0.25">
      <c r="A121" s="30"/>
      <c r="B121" s="29"/>
      <c r="C121" s="29"/>
      <c r="D121" s="29"/>
      <c r="E121" s="29"/>
      <c r="F121" s="29"/>
      <c r="G121" s="31"/>
      <c r="H121" s="29"/>
      <c r="I121" s="29"/>
      <c r="J121" s="29"/>
      <c r="K121" s="29"/>
    </row>
    <row r="122" spans="1:11" ht="15.75" x14ac:dyDescent="0.25">
      <c r="A122" s="32" t="s">
        <v>0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</row>
    <row r="123" spans="1:11" x14ac:dyDescent="0.25">
      <c r="B123" s="29"/>
      <c r="C123" s="29"/>
      <c r="D123" s="29"/>
      <c r="E123" s="29"/>
      <c r="F123" s="29"/>
      <c r="G123" s="29"/>
      <c r="H123" s="29"/>
      <c r="I123" s="29"/>
      <c r="J123" s="29"/>
      <c r="K123" s="29"/>
    </row>
    <row r="124" spans="1:11" ht="15.75" x14ac:dyDescent="0.25">
      <c r="A124" s="33" t="s">
        <v>1</v>
      </c>
      <c r="B124" s="33"/>
      <c r="C124" s="34"/>
      <c r="D124" s="34"/>
      <c r="E124" s="34"/>
      <c r="F124" s="34"/>
      <c r="G124" s="34"/>
      <c r="H124" s="35" t="s">
        <v>2</v>
      </c>
      <c r="I124" s="36"/>
      <c r="J124" s="29"/>
      <c r="K124" s="29"/>
    </row>
    <row r="125" spans="1:11" ht="24.95" customHeight="1" x14ac:dyDescent="0.25">
      <c r="A125" s="33" t="s">
        <v>3</v>
      </c>
      <c r="B125" s="33"/>
      <c r="C125" s="107"/>
      <c r="D125" s="108"/>
      <c r="E125" s="108"/>
      <c r="F125" s="108"/>
      <c r="G125" s="108"/>
      <c r="H125" s="108"/>
      <c r="I125" s="108"/>
      <c r="J125" s="29"/>
      <c r="K125" s="29"/>
    </row>
    <row r="126" spans="1:11" ht="24.95" customHeight="1" x14ac:dyDescent="0.25">
      <c r="A126" s="33" t="s">
        <v>698</v>
      </c>
      <c r="B126" s="33"/>
      <c r="C126" s="105"/>
      <c r="D126" s="106"/>
      <c r="E126" s="106"/>
      <c r="F126" s="106"/>
      <c r="G126" s="106"/>
      <c r="H126" s="106"/>
      <c r="I126" s="106"/>
      <c r="J126" s="29"/>
      <c r="K126" s="29"/>
    </row>
    <row r="127" spans="1:11" ht="24.95" customHeight="1" x14ac:dyDescent="0.25">
      <c r="A127" s="33" t="s">
        <v>699</v>
      </c>
      <c r="B127" s="33"/>
      <c r="C127" s="105"/>
      <c r="D127" s="106"/>
      <c r="E127" s="106"/>
      <c r="F127" s="106"/>
      <c r="G127" s="106"/>
      <c r="H127" s="106"/>
      <c r="I127" s="106"/>
      <c r="J127" s="29"/>
      <c r="K127" s="29"/>
    </row>
    <row r="128" spans="1:11" ht="24.95" customHeight="1" x14ac:dyDescent="0.25">
      <c r="A128" s="33" t="s">
        <v>700</v>
      </c>
      <c r="B128" s="33"/>
      <c r="C128" s="105"/>
      <c r="D128" s="106"/>
      <c r="E128" s="106"/>
      <c r="F128" s="106"/>
      <c r="G128" s="106"/>
      <c r="H128" s="106"/>
      <c r="I128" s="106"/>
      <c r="J128" s="29"/>
      <c r="K128" s="29"/>
    </row>
    <row r="129" spans="1:11" ht="24.95" customHeight="1" x14ac:dyDescent="0.25">
      <c r="A129" s="33" t="s">
        <v>701</v>
      </c>
      <c r="B129" s="33"/>
      <c r="C129" s="105"/>
      <c r="D129" s="106"/>
      <c r="E129" s="106"/>
      <c r="F129" s="106"/>
      <c r="G129" s="106"/>
      <c r="H129" s="106"/>
      <c r="I129" s="106"/>
      <c r="J129" s="29"/>
      <c r="K129" s="29"/>
    </row>
    <row r="130" spans="1:11" ht="38.25" customHeight="1" x14ac:dyDescent="0.25">
      <c r="A130" s="37" t="s">
        <v>702</v>
      </c>
      <c r="B130" s="33"/>
      <c r="C130" s="107"/>
      <c r="D130" s="108"/>
      <c r="E130" s="108"/>
      <c r="F130" s="108"/>
      <c r="G130" s="108"/>
      <c r="H130" s="108"/>
      <c r="I130" s="108"/>
      <c r="J130" s="29"/>
      <c r="K130" s="29"/>
    </row>
    <row r="131" spans="1:11" ht="24.95" customHeight="1" x14ac:dyDescent="0.25">
      <c r="A131" s="33" t="s">
        <v>4</v>
      </c>
      <c r="B131" s="33"/>
      <c r="C131" s="105"/>
      <c r="D131" s="106"/>
      <c r="E131" s="106"/>
      <c r="F131" s="106"/>
      <c r="G131" s="106"/>
      <c r="H131" s="106"/>
      <c r="I131" s="106"/>
      <c r="J131" s="29"/>
      <c r="K131" s="29"/>
    </row>
    <row r="132" spans="1:11" ht="24.95" customHeight="1" x14ac:dyDescent="0.25">
      <c r="A132" s="33" t="s">
        <v>117</v>
      </c>
      <c r="B132" s="33"/>
      <c r="C132" s="105"/>
      <c r="D132" s="106"/>
      <c r="E132" s="106"/>
      <c r="F132" s="106"/>
      <c r="G132" s="106"/>
      <c r="H132" s="106"/>
      <c r="I132" s="106"/>
      <c r="J132" s="29"/>
      <c r="K132" s="29"/>
    </row>
    <row r="133" spans="1:11" x14ac:dyDescent="0.2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</row>
    <row r="134" spans="1:11" x14ac:dyDescent="0.2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</row>
    <row r="135" spans="1:11" x14ac:dyDescent="0.2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</row>
    <row r="136" spans="1:11" x14ac:dyDescent="0.2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</row>
    <row r="137" spans="1:11" x14ac:dyDescent="0.2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</row>
    <row r="138" spans="1:11" x14ac:dyDescent="0.2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</row>
    <row r="139" spans="1:11" x14ac:dyDescent="0.2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</row>
    <row r="140" spans="1:11" x14ac:dyDescent="0.2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</row>
    <row r="141" spans="1:11" x14ac:dyDescent="0.2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</row>
    <row r="142" spans="1:11" x14ac:dyDescent="0.2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</row>
    <row r="143" spans="1:11" x14ac:dyDescent="0.2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</row>
    <row r="144" spans="1:11" x14ac:dyDescent="0.2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</row>
    <row r="145" spans="1:11" x14ac:dyDescent="0.2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</row>
    <row r="146" spans="1:11" x14ac:dyDescent="0.2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</row>
    <row r="147" spans="1:11" x14ac:dyDescent="0.2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</row>
    <row r="148" spans="1:11" x14ac:dyDescent="0.2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</row>
    <row r="149" spans="1:11" x14ac:dyDescent="0.2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</row>
    <row r="150" spans="1:11" x14ac:dyDescent="0.2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</row>
    <row r="151" spans="1:11" x14ac:dyDescent="0.2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</row>
    <row r="152" spans="1:11" x14ac:dyDescent="0.2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</row>
    <row r="153" spans="1:11" x14ac:dyDescent="0.25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</row>
    <row r="154" spans="1:11" x14ac:dyDescent="0.25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</row>
    <row r="155" spans="1:11" x14ac:dyDescent="0.25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</row>
    <row r="156" spans="1:11" x14ac:dyDescent="0.25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</row>
    <row r="157" spans="1:11" x14ac:dyDescent="0.25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</row>
    <row r="158" spans="1:11" x14ac:dyDescent="0.25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</row>
    <row r="159" spans="1:11" x14ac:dyDescent="0.25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</row>
    <row r="160" spans="1:11" x14ac:dyDescent="0.25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</row>
    <row r="161" spans="1:11" x14ac:dyDescent="0.25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</row>
    <row r="162" spans="1:11" x14ac:dyDescent="0.25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</row>
    <row r="163" spans="1:11" x14ac:dyDescent="0.25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</row>
    <row r="164" spans="1:11" x14ac:dyDescent="0.25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</row>
    <row r="165" spans="1:11" x14ac:dyDescent="0.25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</row>
    <row r="166" spans="1:11" x14ac:dyDescent="0.25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</row>
    <row r="167" spans="1:11" x14ac:dyDescent="0.25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</row>
    <row r="168" spans="1:11" x14ac:dyDescent="0.25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</row>
    <row r="169" spans="1:11" x14ac:dyDescent="0.25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</row>
    <row r="170" spans="1:11" x14ac:dyDescent="0.25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</row>
    <row r="171" spans="1:11" x14ac:dyDescent="0.25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</row>
    <row r="172" spans="1:11" x14ac:dyDescent="0.25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</row>
    <row r="173" spans="1:11" x14ac:dyDescent="0.25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</row>
    <row r="174" spans="1:11" x14ac:dyDescent="0.25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</row>
    <row r="175" spans="1:11" x14ac:dyDescent="0.25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</row>
    <row r="176" spans="1:11" x14ac:dyDescent="0.25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</row>
    <row r="177" spans="1:11" x14ac:dyDescent="0.25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</row>
    <row r="178" spans="1:11" x14ac:dyDescent="0.25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</row>
    <row r="179" spans="1:11" x14ac:dyDescent="0.25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</row>
    <row r="180" spans="1:11" x14ac:dyDescent="0.25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</row>
    <row r="181" spans="1:11" x14ac:dyDescent="0.25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</row>
    <row r="182" spans="1:11" x14ac:dyDescent="0.25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</row>
    <row r="183" spans="1:11" x14ac:dyDescent="0.25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</row>
    <row r="184" spans="1:11" x14ac:dyDescent="0.25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</row>
    <row r="185" spans="1:11" x14ac:dyDescent="0.25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</row>
    <row r="186" spans="1:11" x14ac:dyDescent="0.25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</row>
    <row r="187" spans="1:11" x14ac:dyDescent="0.25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</row>
    <row r="188" spans="1:11" x14ac:dyDescent="0.25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</row>
    <row r="189" spans="1:11" x14ac:dyDescent="0.25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</row>
    <row r="190" spans="1:11" x14ac:dyDescent="0.25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</row>
    <row r="191" spans="1:11" x14ac:dyDescent="0.25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</row>
    <row r="192" spans="1:11" x14ac:dyDescent="0.25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</row>
    <row r="193" spans="1:11" x14ac:dyDescent="0.25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</row>
    <row r="194" spans="1:11" x14ac:dyDescent="0.25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</row>
    <row r="195" spans="1:11" x14ac:dyDescent="0.25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</row>
    <row r="196" spans="1:11" x14ac:dyDescent="0.25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</row>
    <row r="197" spans="1:11" x14ac:dyDescent="0.25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</row>
    <row r="198" spans="1:11" x14ac:dyDescent="0.25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</row>
    <row r="199" spans="1:11" x14ac:dyDescent="0.25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</row>
    <row r="200" spans="1:11" x14ac:dyDescent="0.25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</row>
    <row r="201" spans="1:11" x14ac:dyDescent="0.25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</row>
    <row r="202" spans="1:11" x14ac:dyDescent="0.25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</row>
    <row r="203" spans="1:11" x14ac:dyDescent="0.25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</row>
    <row r="204" spans="1:11" x14ac:dyDescent="0.25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</row>
    <row r="205" spans="1:11" x14ac:dyDescent="0.2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</row>
    <row r="206" spans="1:11" x14ac:dyDescent="0.25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</row>
    <row r="207" spans="1:11" x14ac:dyDescent="0.25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</row>
    <row r="208" spans="1:11" x14ac:dyDescent="0.25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</row>
    <row r="209" spans="1:11" x14ac:dyDescent="0.25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</row>
    <row r="210" spans="1:11" x14ac:dyDescent="0.25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</row>
    <row r="211" spans="1:11" x14ac:dyDescent="0.25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</row>
    <row r="212" spans="1:11" x14ac:dyDescent="0.25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</row>
    <row r="213" spans="1:11" x14ac:dyDescent="0.25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</row>
    <row r="214" spans="1:11" x14ac:dyDescent="0.2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</row>
    <row r="215" spans="1:11" x14ac:dyDescent="0.25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</row>
    <row r="216" spans="1:11" x14ac:dyDescent="0.25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</row>
    <row r="217" spans="1:11" x14ac:dyDescent="0.25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</row>
    <row r="218" spans="1:11" x14ac:dyDescent="0.25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</row>
    <row r="219" spans="1:11" x14ac:dyDescent="0.25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</row>
    <row r="220" spans="1:11" x14ac:dyDescent="0.25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</row>
    <row r="221" spans="1:11" x14ac:dyDescent="0.25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</row>
  </sheetData>
  <sheetProtection algorithmName="SHA-512" hashValue="eHJkpoW5FSUj9in+zPHcYlnyzyAwK1zpoCALkvPjRmKN0wm9wqiKeUwwqR0DGr1O0LgiXRfkdVxpNYTYM6jucQ==" saltValue="BOOQ8MGANqKl6Xojombj1g==" spinCount="100000" sheet="1" objects="1" scenarios="1"/>
  <mergeCells count="10">
    <mergeCell ref="A1:I1"/>
    <mergeCell ref="C129:I129"/>
    <mergeCell ref="C130:I130"/>
    <mergeCell ref="C131:I131"/>
    <mergeCell ref="C132:I132"/>
    <mergeCell ref="A113:E113"/>
    <mergeCell ref="C125:I125"/>
    <mergeCell ref="C126:I126"/>
    <mergeCell ref="C127:I127"/>
    <mergeCell ref="C128:I128"/>
  </mergeCells>
  <pageMargins left="0.5" right="0.5" top="0.75" bottom="0.75" header="0.3" footer="0.3"/>
  <pageSetup scale="68" fitToHeight="0" orientation="portrait" r:id="rId1"/>
  <headerFooter>
    <oddFooter>&amp;C&amp;P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253"/>
  <sheetViews>
    <sheetView zoomScaleNormal="100" workbookViewId="0">
      <selection activeCell="A6" sqref="A6"/>
    </sheetView>
  </sheetViews>
  <sheetFormatPr defaultRowHeight="15" x14ac:dyDescent="0.25"/>
  <cols>
    <col min="1" max="1" width="42.7109375" style="26" customWidth="1"/>
    <col min="2" max="2" width="3" style="26" customWidth="1"/>
    <col min="3" max="3" width="15.7109375" style="26" customWidth="1"/>
    <col min="4" max="4" width="3.5703125" style="26" customWidth="1"/>
    <col min="5" max="5" width="19.42578125" style="26" customWidth="1"/>
    <col min="6" max="6" width="3.28515625" style="26" customWidth="1"/>
    <col min="7" max="7" width="16.7109375" style="26" customWidth="1"/>
    <col min="8" max="16384" width="9.140625" style="26"/>
  </cols>
  <sheetData>
    <row r="1" spans="1:12" ht="24.95" customHeight="1" x14ac:dyDescent="0.3">
      <c r="A1" s="112" t="s">
        <v>10</v>
      </c>
      <c r="B1" s="112"/>
      <c r="C1" s="112"/>
      <c r="D1" s="112"/>
      <c r="E1" s="112"/>
      <c r="F1" s="112"/>
      <c r="G1" s="112"/>
      <c r="H1" s="112"/>
      <c r="I1" s="112"/>
      <c r="J1" s="25"/>
      <c r="K1" s="25"/>
      <c r="L1" s="25"/>
    </row>
    <row r="2" spans="1:12" s="27" customFormat="1" ht="24.95" customHeight="1" x14ac:dyDescent="0.35">
      <c r="A2" s="43"/>
      <c r="B2" s="43"/>
      <c r="C2" s="44" t="s">
        <v>11</v>
      </c>
      <c r="D2" s="45"/>
      <c r="E2" s="43"/>
      <c r="F2" s="43"/>
      <c r="G2" s="43"/>
      <c r="H2" s="43"/>
      <c r="I2" s="43"/>
      <c r="J2" s="25"/>
      <c r="K2" s="25"/>
      <c r="L2" s="25"/>
    </row>
    <row r="3" spans="1:12" s="27" customFormat="1" ht="24.95" customHeight="1" x14ac:dyDescent="0.35">
      <c r="A3" s="46" t="s">
        <v>751</v>
      </c>
      <c r="B3" s="47"/>
      <c r="C3" s="44" t="s">
        <v>467</v>
      </c>
      <c r="D3" s="48"/>
      <c r="E3" s="47"/>
      <c r="F3" s="47"/>
      <c r="G3" s="43"/>
      <c r="H3" s="43"/>
      <c r="I3" s="43"/>
      <c r="J3" s="25"/>
      <c r="K3" s="25"/>
      <c r="L3" s="25"/>
    </row>
    <row r="4" spans="1:12" ht="22.5" customHeight="1" x14ac:dyDescent="0.35">
      <c r="A4" s="43"/>
      <c r="B4" s="46"/>
      <c r="C4" s="49"/>
      <c r="D4" s="50"/>
      <c r="E4" s="51"/>
      <c r="F4" s="51"/>
      <c r="G4" s="43"/>
      <c r="H4" s="43"/>
      <c r="I4" s="43"/>
      <c r="J4" s="25"/>
      <c r="K4" s="25"/>
      <c r="L4" s="25"/>
    </row>
    <row r="5" spans="1:12" ht="18.75" x14ac:dyDescent="0.3">
      <c r="A5" s="52" t="s">
        <v>5</v>
      </c>
      <c r="B5" s="53"/>
      <c r="C5" s="53"/>
      <c r="D5" s="53"/>
      <c r="E5" s="53"/>
      <c r="F5" s="53"/>
      <c r="G5" s="53"/>
      <c r="H5" s="53"/>
      <c r="I5" s="53"/>
      <c r="J5" s="29"/>
      <c r="K5" s="29"/>
    </row>
    <row r="6" spans="1:12" ht="18.75" x14ac:dyDescent="0.3">
      <c r="A6" s="52" t="s">
        <v>6</v>
      </c>
      <c r="B6" s="52"/>
      <c r="C6" s="52"/>
      <c r="D6" s="52"/>
      <c r="E6" s="52"/>
      <c r="F6" s="52"/>
      <c r="G6" s="52"/>
      <c r="H6" s="52"/>
      <c r="I6" s="52"/>
      <c r="J6" s="28"/>
      <c r="K6" s="29"/>
    </row>
    <row r="7" spans="1:12" ht="18.75" x14ac:dyDescent="0.3">
      <c r="A7" s="52" t="s">
        <v>7</v>
      </c>
      <c r="B7" s="52"/>
      <c r="C7" s="52"/>
      <c r="D7" s="52"/>
      <c r="E7" s="52"/>
      <c r="F7" s="52"/>
      <c r="G7" s="52"/>
      <c r="H7" s="52"/>
      <c r="I7" s="52"/>
      <c r="J7" s="28"/>
      <c r="K7" s="29"/>
    </row>
    <row r="8" spans="1:12" ht="18.75" x14ac:dyDescent="0.3">
      <c r="A8" s="52" t="s">
        <v>8</v>
      </c>
      <c r="B8" s="52"/>
      <c r="C8" s="52"/>
      <c r="D8" s="52"/>
      <c r="E8" s="52"/>
      <c r="F8" s="52"/>
      <c r="G8" s="52"/>
      <c r="H8" s="52"/>
      <c r="I8" s="52"/>
      <c r="J8" s="28"/>
      <c r="K8" s="29"/>
    </row>
    <row r="9" spans="1:12" ht="18.75" x14ac:dyDescent="0.3">
      <c r="A9" s="52"/>
      <c r="B9" s="52"/>
      <c r="C9" s="52"/>
      <c r="D9" s="52"/>
      <c r="E9" s="52"/>
      <c r="F9" s="52"/>
      <c r="G9" s="52"/>
      <c r="H9" s="52"/>
      <c r="I9" s="52"/>
      <c r="J9" s="28"/>
      <c r="K9" s="29"/>
    </row>
    <row r="10" spans="1:12" ht="48" x14ac:dyDescent="0.3">
      <c r="A10" s="54" t="s">
        <v>12</v>
      </c>
      <c r="B10" s="52"/>
      <c r="C10" s="55" t="s">
        <v>13</v>
      </c>
      <c r="D10" s="52"/>
      <c r="E10" s="56" t="s">
        <v>114</v>
      </c>
      <c r="F10" s="52"/>
      <c r="G10" s="56" t="s">
        <v>115</v>
      </c>
      <c r="H10" s="52"/>
      <c r="I10" s="52"/>
      <c r="J10" s="28"/>
      <c r="K10" s="29"/>
    </row>
    <row r="11" spans="1:12" ht="18.75" customHeight="1" x14ac:dyDescent="0.3">
      <c r="A11" s="57" t="s">
        <v>14</v>
      </c>
      <c r="B11" s="52"/>
      <c r="C11" s="58">
        <v>1012</v>
      </c>
      <c r="D11" s="52"/>
      <c r="E11" s="1"/>
      <c r="F11" s="52"/>
      <c r="G11" s="59">
        <f>C11*E11</f>
        <v>0</v>
      </c>
      <c r="H11" s="52"/>
      <c r="I11" s="52"/>
      <c r="J11" s="28"/>
      <c r="K11" s="29"/>
    </row>
    <row r="12" spans="1:12" ht="18.75" customHeight="1" x14ac:dyDescent="0.3">
      <c r="A12" s="57" t="s">
        <v>549</v>
      </c>
      <c r="B12" s="52"/>
      <c r="C12" s="58">
        <v>280</v>
      </c>
      <c r="D12" s="52"/>
      <c r="E12" s="1"/>
      <c r="F12" s="52"/>
      <c r="G12" s="59">
        <f t="shared" ref="G12:G16" si="0">C12*E12</f>
        <v>0</v>
      </c>
      <c r="H12" s="52"/>
      <c r="I12" s="52"/>
      <c r="J12" s="28"/>
      <c r="K12" s="29"/>
    </row>
    <row r="13" spans="1:12" ht="18.75" customHeight="1" x14ac:dyDescent="0.3">
      <c r="A13" s="57" t="s">
        <v>550</v>
      </c>
      <c r="B13" s="52"/>
      <c r="C13" s="58">
        <v>300</v>
      </c>
      <c r="D13" s="52"/>
      <c r="E13" s="1"/>
      <c r="F13" s="52"/>
      <c r="G13" s="59">
        <f t="shared" si="0"/>
        <v>0</v>
      </c>
      <c r="H13" s="52"/>
      <c r="I13" s="52"/>
      <c r="J13" s="28"/>
      <c r="K13" s="29"/>
    </row>
    <row r="14" spans="1:12" ht="18.75" customHeight="1" x14ac:dyDescent="0.3">
      <c r="A14" s="57" t="s">
        <v>551</v>
      </c>
      <c r="B14" s="52"/>
      <c r="C14" s="58">
        <v>260</v>
      </c>
      <c r="D14" s="52"/>
      <c r="E14" s="1"/>
      <c r="F14" s="52"/>
      <c r="G14" s="59">
        <f t="shared" si="0"/>
        <v>0</v>
      </c>
      <c r="H14" s="52"/>
      <c r="I14" s="52"/>
      <c r="J14" s="28"/>
      <c r="K14" s="29"/>
    </row>
    <row r="15" spans="1:12" ht="18.75" customHeight="1" x14ac:dyDescent="0.3">
      <c r="A15" s="57" t="s">
        <v>548</v>
      </c>
      <c r="B15" s="52"/>
      <c r="C15" s="58">
        <v>480</v>
      </c>
      <c r="D15" s="52"/>
      <c r="E15" s="1"/>
      <c r="F15" s="52"/>
      <c r="G15" s="59">
        <f t="shared" si="0"/>
        <v>0</v>
      </c>
      <c r="H15" s="52"/>
      <c r="I15" s="52"/>
      <c r="J15" s="28"/>
      <c r="K15" s="29"/>
    </row>
    <row r="16" spans="1:12" ht="18.75" customHeight="1" x14ac:dyDescent="0.3">
      <c r="A16" s="57" t="s">
        <v>552</v>
      </c>
      <c r="B16" s="52"/>
      <c r="C16" s="58">
        <v>104</v>
      </c>
      <c r="D16" s="52"/>
      <c r="E16" s="1"/>
      <c r="F16" s="52"/>
      <c r="G16" s="59">
        <f t="shared" si="0"/>
        <v>0</v>
      </c>
      <c r="H16" s="52"/>
      <c r="I16" s="52"/>
      <c r="J16" s="28"/>
      <c r="K16" s="29"/>
    </row>
    <row r="17" spans="1:11" ht="18.75" customHeight="1" x14ac:dyDescent="0.3">
      <c r="A17" s="57" t="s">
        <v>192</v>
      </c>
      <c r="B17" s="52"/>
      <c r="C17" s="58">
        <v>694</v>
      </c>
      <c r="D17" s="52"/>
      <c r="E17" s="1"/>
      <c r="F17" s="52"/>
      <c r="G17" s="59">
        <f t="shared" ref="G17:G92" si="1">C17*E17</f>
        <v>0</v>
      </c>
      <c r="H17" s="52"/>
      <c r="I17" s="52"/>
      <c r="J17" s="28"/>
      <c r="K17" s="29"/>
    </row>
    <row r="18" spans="1:11" ht="18.75" customHeight="1" x14ac:dyDescent="0.3">
      <c r="A18" s="57" t="s">
        <v>468</v>
      </c>
      <c r="B18" s="52"/>
      <c r="C18" s="58">
        <v>1825</v>
      </c>
      <c r="D18" s="52"/>
      <c r="E18" s="1"/>
      <c r="F18" s="52"/>
      <c r="G18" s="59">
        <f t="shared" si="1"/>
        <v>0</v>
      </c>
      <c r="H18" s="52"/>
      <c r="I18" s="52"/>
      <c r="J18" s="28"/>
      <c r="K18" s="29"/>
    </row>
    <row r="19" spans="1:11" ht="18.75" customHeight="1" x14ac:dyDescent="0.3">
      <c r="A19" s="57" t="s">
        <v>406</v>
      </c>
      <c r="B19" s="52"/>
      <c r="C19" s="58">
        <v>230</v>
      </c>
      <c r="D19" s="52"/>
      <c r="E19" s="1"/>
      <c r="F19" s="52"/>
      <c r="G19" s="59">
        <f t="shared" si="1"/>
        <v>0</v>
      </c>
      <c r="H19" s="52"/>
      <c r="I19" s="52"/>
      <c r="J19" s="28"/>
      <c r="K19" s="29"/>
    </row>
    <row r="20" spans="1:11" ht="18.75" customHeight="1" x14ac:dyDescent="0.3">
      <c r="A20" s="57" t="s">
        <v>407</v>
      </c>
      <c r="B20" s="52"/>
      <c r="C20" s="58">
        <v>2148</v>
      </c>
      <c r="D20" s="52"/>
      <c r="E20" s="1"/>
      <c r="F20" s="52"/>
      <c r="G20" s="59">
        <f t="shared" si="1"/>
        <v>0</v>
      </c>
      <c r="H20" s="52"/>
      <c r="I20" s="52"/>
      <c r="J20" s="28"/>
      <c r="K20" s="29"/>
    </row>
    <row r="21" spans="1:11" ht="18.75" customHeight="1" x14ac:dyDescent="0.3">
      <c r="A21" s="57" t="s">
        <v>194</v>
      </c>
      <c r="B21" s="52"/>
      <c r="C21" s="58">
        <v>3612</v>
      </c>
      <c r="D21" s="52"/>
      <c r="E21" s="1"/>
      <c r="F21" s="52"/>
      <c r="G21" s="59">
        <f t="shared" si="1"/>
        <v>0</v>
      </c>
      <c r="H21" s="52"/>
      <c r="I21" s="52"/>
      <c r="J21" s="28"/>
      <c r="K21" s="29"/>
    </row>
    <row r="22" spans="1:11" ht="18.75" customHeight="1" x14ac:dyDescent="0.3">
      <c r="A22" s="57" t="s">
        <v>553</v>
      </c>
      <c r="B22" s="52"/>
      <c r="C22" s="58">
        <v>1731</v>
      </c>
      <c r="D22" s="52"/>
      <c r="E22" s="1"/>
      <c r="F22" s="52"/>
      <c r="G22" s="59">
        <f t="shared" si="1"/>
        <v>0</v>
      </c>
      <c r="H22" s="52"/>
      <c r="I22" s="52"/>
      <c r="J22" s="28"/>
      <c r="K22" s="29"/>
    </row>
    <row r="23" spans="1:11" ht="18.75" customHeight="1" x14ac:dyDescent="0.3">
      <c r="A23" s="57" t="s">
        <v>121</v>
      </c>
      <c r="B23" s="52"/>
      <c r="C23" s="58">
        <v>1164</v>
      </c>
      <c r="D23" s="52"/>
      <c r="E23" s="1"/>
      <c r="F23" s="52"/>
      <c r="G23" s="59">
        <f t="shared" si="1"/>
        <v>0</v>
      </c>
      <c r="H23" s="52"/>
      <c r="I23" s="52"/>
      <c r="J23" s="28"/>
      <c r="K23" s="29"/>
    </row>
    <row r="24" spans="1:11" ht="18.75" customHeight="1" x14ac:dyDescent="0.3">
      <c r="A24" s="57" t="s">
        <v>122</v>
      </c>
      <c r="B24" s="52"/>
      <c r="C24" s="58">
        <v>958</v>
      </c>
      <c r="D24" s="52"/>
      <c r="E24" s="1"/>
      <c r="F24" s="52"/>
      <c r="G24" s="59">
        <f t="shared" si="1"/>
        <v>0</v>
      </c>
      <c r="H24" s="52"/>
      <c r="I24" s="52"/>
      <c r="J24" s="28"/>
      <c r="K24" s="29"/>
    </row>
    <row r="25" spans="1:11" ht="18.75" customHeight="1" x14ac:dyDescent="0.3">
      <c r="A25" s="57" t="s">
        <v>554</v>
      </c>
      <c r="B25" s="52"/>
      <c r="C25" s="58">
        <v>103</v>
      </c>
      <c r="D25" s="52"/>
      <c r="E25" s="1"/>
      <c r="F25" s="52"/>
      <c r="G25" s="59">
        <f t="shared" si="1"/>
        <v>0</v>
      </c>
      <c r="H25" s="52"/>
      <c r="I25" s="52"/>
      <c r="J25" s="28"/>
      <c r="K25" s="29"/>
    </row>
    <row r="26" spans="1:11" ht="18.75" customHeight="1" x14ac:dyDescent="0.3">
      <c r="A26" s="57" t="s">
        <v>469</v>
      </c>
      <c r="B26" s="52"/>
      <c r="C26" s="58">
        <v>923</v>
      </c>
      <c r="D26" s="52"/>
      <c r="E26" s="1"/>
      <c r="F26" s="52"/>
      <c r="G26" s="59">
        <f t="shared" si="1"/>
        <v>0</v>
      </c>
      <c r="H26" s="52"/>
      <c r="I26" s="52"/>
      <c r="J26" s="28"/>
      <c r="K26" s="29"/>
    </row>
    <row r="27" spans="1:11" ht="18.75" customHeight="1" x14ac:dyDescent="0.3">
      <c r="A27" s="57" t="s">
        <v>555</v>
      </c>
      <c r="B27" s="52"/>
      <c r="C27" s="58">
        <v>148</v>
      </c>
      <c r="D27" s="52"/>
      <c r="E27" s="1"/>
      <c r="F27" s="52"/>
      <c r="G27" s="59">
        <f t="shared" si="1"/>
        <v>0</v>
      </c>
      <c r="H27" s="52"/>
      <c r="I27" s="52"/>
      <c r="J27" s="28"/>
      <c r="K27" s="29"/>
    </row>
    <row r="28" spans="1:11" ht="18.75" customHeight="1" x14ac:dyDescent="0.3">
      <c r="A28" s="57" t="s">
        <v>470</v>
      </c>
      <c r="B28" s="52"/>
      <c r="C28" s="58">
        <v>307</v>
      </c>
      <c r="D28" s="52"/>
      <c r="E28" s="1"/>
      <c r="F28" s="52"/>
      <c r="G28" s="59">
        <f t="shared" si="1"/>
        <v>0</v>
      </c>
      <c r="H28" s="52"/>
      <c r="I28" s="52"/>
      <c r="J28" s="28"/>
      <c r="K28" s="29"/>
    </row>
    <row r="29" spans="1:11" ht="18.75" customHeight="1" x14ac:dyDescent="0.3">
      <c r="A29" s="57" t="s">
        <v>471</v>
      </c>
      <c r="B29" s="102"/>
      <c r="C29" s="58">
        <v>133</v>
      </c>
      <c r="D29" s="52"/>
      <c r="E29" s="1"/>
      <c r="F29" s="52"/>
      <c r="G29" s="59">
        <f t="shared" si="1"/>
        <v>0</v>
      </c>
      <c r="H29" s="52"/>
      <c r="I29" s="52"/>
      <c r="J29" s="28"/>
      <c r="K29" s="29"/>
    </row>
    <row r="30" spans="1:11" ht="18.75" customHeight="1" x14ac:dyDescent="0.3">
      <c r="A30" s="57" t="s">
        <v>472</v>
      </c>
      <c r="B30" s="52"/>
      <c r="C30" s="58">
        <v>180</v>
      </c>
      <c r="D30" s="52"/>
      <c r="E30" s="1"/>
      <c r="F30" s="52"/>
      <c r="G30" s="59">
        <f t="shared" si="1"/>
        <v>0</v>
      </c>
      <c r="H30" s="52"/>
      <c r="I30" s="52"/>
      <c r="J30" s="28"/>
      <c r="K30" s="29"/>
    </row>
    <row r="31" spans="1:11" ht="18.75" customHeight="1" x14ac:dyDescent="0.3">
      <c r="A31" s="57" t="s">
        <v>473</v>
      </c>
      <c r="B31" s="52"/>
      <c r="C31" s="58">
        <v>98</v>
      </c>
      <c r="D31" s="52"/>
      <c r="E31" s="1"/>
      <c r="F31" s="52"/>
      <c r="G31" s="59">
        <f t="shared" si="1"/>
        <v>0</v>
      </c>
      <c r="H31" s="52"/>
      <c r="I31" s="52"/>
      <c r="J31" s="28"/>
      <c r="K31" s="29"/>
    </row>
    <row r="32" spans="1:11" ht="18.75" customHeight="1" x14ac:dyDescent="0.3">
      <c r="A32" s="57" t="s">
        <v>474</v>
      </c>
      <c r="B32" s="52"/>
      <c r="C32" s="58">
        <v>384</v>
      </c>
      <c r="D32" s="52"/>
      <c r="E32" s="1"/>
      <c r="F32" s="52"/>
      <c r="G32" s="59">
        <f t="shared" si="1"/>
        <v>0</v>
      </c>
      <c r="H32" s="52"/>
      <c r="I32" s="52"/>
      <c r="J32" s="28"/>
      <c r="K32" s="29"/>
    </row>
    <row r="33" spans="1:11" ht="18.75" customHeight="1" x14ac:dyDescent="0.3">
      <c r="A33" s="57" t="s">
        <v>124</v>
      </c>
      <c r="B33" s="52"/>
      <c r="C33" s="58">
        <v>658</v>
      </c>
      <c r="D33" s="52"/>
      <c r="E33" s="1"/>
      <c r="F33" s="52"/>
      <c r="G33" s="59">
        <f t="shared" si="1"/>
        <v>0</v>
      </c>
      <c r="H33" s="52"/>
      <c r="I33" s="52"/>
      <c r="J33" s="28"/>
      <c r="K33" s="29"/>
    </row>
    <row r="34" spans="1:11" ht="18.75" customHeight="1" x14ac:dyDescent="0.3">
      <c r="A34" s="57" t="s">
        <v>475</v>
      </c>
      <c r="B34" s="52"/>
      <c r="C34" s="58">
        <v>1392</v>
      </c>
      <c r="D34" s="52"/>
      <c r="E34" s="1"/>
      <c r="F34" s="52"/>
      <c r="G34" s="59">
        <f t="shared" si="1"/>
        <v>0</v>
      </c>
      <c r="H34" s="52"/>
      <c r="I34" s="52"/>
      <c r="J34" s="28"/>
      <c r="K34" s="29"/>
    </row>
    <row r="35" spans="1:11" ht="18.75" customHeight="1" x14ac:dyDescent="0.3">
      <c r="A35" s="57" t="s">
        <v>129</v>
      </c>
      <c r="B35" s="52"/>
      <c r="C35" s="58">
        <v>84</v>
      </c>
      <c r="D35" s="52"/>
      <c r="E35" s="1"/>
      <c r="F35" s="52"/>
      <c r="G35" s="59">
        <f t="shared" si="1"/>
        <v>0</v>
      </c>
      <c r="H35" s="52"/>
      <c r="I35" s="52"/>
      <c r="J35" s="28"/>
      <c r="K35" s="29"/>
    </row>
    <row r="36" spans="1:11" ht="18.75" customHeight="1" x14ac:dyDescent="0.3">
      <c r="A36" s="57" t="s">
        <v>130</v>
      </c>
      <c r="B36" s="52"/>
      <c r="C36" s="58">
        <v>157</v>
      </c>
      <c r="D36" s="52"/>
      <c r="E36" s="1"/>
      <c r="F36" s="52"/>
      <c r="G36" s="59">
        <f t="shared" si="1"/>
        <v>0</v>
      </c>
      <c r="H36" s="52"/>
      <c r="I36" s="52"/>
      <c r="J36" s="28"/>
      <c r="K36" s="29"/>
    </row>
    <row r="37" spans="1:11" ht="18.75" customHeight="1" x14ac:dyDescent="0.3">
      <c r="A37" s="57" t="s">
        <v>130</v>
      </c>
      <c r="B37" s="52"/>
      <c r="C37" s="58">
        <v>157</v>
      </c>
      <c r="D37" s="52"/>
      <c r="E37" s="1"/>
      <c r="F37" s="52"/>
      <c r="G37" s="59">
        <f t="shared" si="1"/>
        <v>0</v>
      </c>
      <c r="H37" s="52"/>
      <c r="I37" s="52"/>
      <c r="J37" s="28"/>
      <c r="K37" s="29"/>
    </row>
    <row r="38" spans="1:11" ht="18.75" customHeight="1" x14ac:dyDescent="0.3">
      <c r="A38" s="57" t="s">
        <v>556</v>
      </c>
      <c r="B38" s="52"/>
      <c r="C38" s="58">
        <v>30</v>
      </c>
      <c r="D38" s="52"/>
      <c r="E38" s="1"/>
      <c r="F38" s="52"/>
      <c r="G38" s="59">
        <f t="shared" si="1"/>
        <v>0</v>
      </c>
      <c r="H38" s="52"/>
      <c r="I38" s="52"/>
      <c r="J38" s="28"/>
      <c r="K38" s="29"/>
    </row>
    <row r="39" spans="1:11" ht="18.75" customHeight="1" x14ac:dyDescent="0.3">
      <c r="A39" s="57" t="s">
        <v>219</v>
      </c>
      <c r="B39" s="52"/>
      <c r="C39" s="58">
        <v>1806</v>
      </c>
      <c r="D39" s="52"/>
      <c r="E39" s="1"/>
      <c r="F39" s="52"/>
      <c r="G39" s="59">
        <f t="shared" si="1"/>
        <v>0</v>
      </c>
      <c r="H39" s="52"/>
      <c r="I39" s="52"/>
      <c r="J39" s="28"/>
      <c r="K39" s="29"/>
    </row>
    <row r="40" spans="1:11" ht="18.75" customHeight="1" x14ac:dyDescent="0.3">
      <c r="A40" s="57" t="s">
        <v>220</v>
      </c>
      <c r="B40" s="52"/>
      <c r="C40" s="58">
        <v>70</v>
      </c>
      <c r="D40" s="52"/>
      <c r="E40" s="1"/>
      <c r="F40" s="52"/>
      <c r="G40" s="59">
        <f t="shared" si="1"/>
        <v>0</v>
      </c>
      <c r="H40" s="52"/>
      <c r="I40" s="52"/>
      <c r="J40" s="28"/>
      <c r="K40" s="29"/>
    </row>
    <row r="41" spans="1:11" ht="18.75" customHeight="1" x14ac:dyDescent="0.3">
      <c r="A41" s="57" t="s">
        <v>223</v>
      </c>
      <c r="B41" s="52"/>
      <c r="C41" s="58">
        <v>369</v>
      </c>
      <c r="D41" s="52"/>
      <c r="E41" s="1"/>
      <c r="F41" s="52"/>
      <c r="G41" s="59">
        <f t="shared" si="1"/>
        <v>0</v>
      </c>
      <c r="H41" s="52"/>
      <c r="I41" s="52"/>
      <c r="J41" s="28"/>
      <c r="K41" s="29"/>
    </row>
    <row r="42" spans="1:11" ht="18.75" customHeight="1" x14ac:dyDescent="0.3">
      <c r="A42" s="57" t="s">
        <v>557</v>
      </c>
      <c r="B42" s="52"/>
      <c r="C42" s="58">
        <v>816</v>
      </c>
      <c r="D42" s="52"/>
      <c r="E42" s="1"/>
      <c r="F42" s="52"/>
      <c r="G42" s="59">
        <f t="shared" si="1"/>
        <v>0</v>
      </c>
      <c r="H42" s="52"/>
      <c r="I42" s="52"/>
      <c r="J42" s="28"/>
      <c r="K42" s="29"/>
    </row>
    <row r="43" spans="1:11" ht="18.75" customHeight="1" x14ac:dyDescent="0.3">
      <c r="A43" s="57" t="s">
        <v>558</v>
      </c>
      <c r="B43" s="52"/>
      <c r="C43" s="58">
        <v>60</v>
      </c>
      <c r="D43" s="52"/>
      <c r="E43" s="1"/>
      <c r="F43" s="52"/>
      <c r="G43" s="59">
        <f t="shared" si="1"/>
        <v>0</v>
      </c>
      <c r="H43" s="52"/>
      <c r="I43" s="52"/>
      <c r="J43" s="28"/>
      <c r="K43" s="29"/>
    </row>
    <row r="44" spans="1:11" ht="18.75" customHeight="1" x14ac:dyDescent="0.3">
      <c r="A44" s="57" t="s">
        <v>559</v>
      </c>
      <c r="B44" s="52"/>
      <c r="C44" s="58">
        <v>300</v>
      </c>
      <c r="D44" s="52"/>
      <c r="E44" s="1"/>
      <c r="F44" s="52"/>
      <c r="G44" s="59">
        <f t="shared" si="1"/>
        <v>0</v>
      </c>
      <c r="H44" s="52"/>
      <c r="I44" s="52"/>
      <c r="J44" s="28"/>
      <c r="K44" s="29"/>
    </row>
    <row r="45" spans="1:11" ht="18.75" customHeight="1" x14ac:dyDescent="0.3">
      <c r="A45" s="57" t="s">
        <v>560</v>
      </c>
      <c r="B45" s="52"/>
      <c r="C45" s="58">
        <v>780</v>
      </c>
      <c r="D45" s="52"/>
      <c r="E45" s="1"/>
      <c r="F45" s="52"/>
      <c r="G45" s="59">
        <f t="shared" si="1"/>
        <v>0</v>
      </c>
      <c r="H45" s="52"/>
      <c r="I45" s="52"/>
      <c r="J45" s="28"/>
      <c r="K45" s="29"/>
    </row>
    <row r="46" spans="1:11" ht="18.75" customHeight="1" x14ac:dyDescent="0.3">
      <c r="A46" s="57" t="s">
        <v>180</v>
      </c>
      <c r="B46" s="52"/>
      <c r="C46" s="58">
        <v>1158</v>
      </c>
      <c r="D46" s="52"/>
      <c r="E46" s="1"/>
      <c r="F46" s="52"/>
      <c r="G46" s="59">
        <f t="shared" si="1"/>
        <v>0</v>
      </c>
      <c r="H46" s="52"/>
      <c r="I46" s="52"/>
      <c r="J46" s="28"/>
      <c r="K46" s="29"/>
    </row>
    <row r="47" spans="1:11" ht="18.75" customHeight="1" x14ac:dyDescent="0.3">
      <c r="A47" s="57" t="s">
        <v>418</v>
      </c>
      <c r="B47" s="52"/>
      <c r="C47" s="58">
        <v>1397</v>
      </c>
      <c r="D47" s="52"/>
      <c r="E47" s="1"/>
      <c r="F47" s="52"/>
      <c r="G47" s="59">
        <f t="shared" si="1"/>
        <v>0</v>
      </c>
      <c r="H47" s="52"/>
      <c r="I47" s="52"/>
      <c r="J47" s="28"/>
      <c r="K47" s="29"/>
    </row>
    <row r="48" spans="1:11" ht="18.75" customHeight="1" x14ac:dyDescent="0.3">
      <c r="A48" s="57" t="s">
        <v>139</v>
      </c>
      <c r="B48" s="52"/>
      <c r="C48" s="58">
        <v>121</v>
      </c>
      <c r="D48" s="52"/>
      <c r="E48" s="1"/>
      <c r="F48" s="52"/>
      <c r="G48" s="59">
        <f t="shared" si="1"/>
        <v>0</v>
      </c>
      <c r="H48" s="52"/>
      <c r="I48" s="52"/>
      <c r="J48" s="28"/>
      <c r="K48" s="29"/>
    </row>
    <row r="49" spans="1:11" ht="18.75" customHeight="1" x14ac:dyDescent="0.3">
      <c r="A49" s="57" t="s">
        <v>419</v>
      </c>
      <c r="B49" s="52"/>
      <c r="C49" s="58">
        <v>171</v>
      </c>
      <c r="D49" s="52"/>
      <c r="E49" s="1"/>
      <c r="F49" s="52"/>
      <c r="G49" s="59">
        <f t="shared" si="1"/>
        <v>0</v>
      </c>
      <c r="H49" s="52"/>
      <c r="I49" s="52"/>
      <c r="J49" s="28"/>
      <c r="K49" s="29"/>
    </row>
    <row r="50" spans="1:11" ht="18.75" customHeight="1" x14ac:dyDescent="0.3">
      <c r="A50" s="57" t="s">
        <v>561</v>
      </c>
      <c r="B50" s="52"/>
      <c r="C50" s="58">
        <v>513</v>
      </c>
      <c r="D50" s="52"/>
      <c r="E50" s="1"/>
      <c r="F50" s="52"/>
      <c r="G50" s="59">
        <f t="shared" si="1"/>
        <v>0</v>
      </c>
      <c r="H50" s="52"/>
      <c r="I50" s="52"/>
      <c r="J50" s="28"/>
      <c r="K50" s="29"/>
    </row>
    <row r="51" spans="1:11" ht="18.75" customHeight="1" x14ac:dyDescent="0.25">
      <c r="A51" s="57" t="s">
        <v>562</v>
      </c>
      <c r="B51" s="53"/>
      <c r="C51" s="58">
        <v>72</v>
      </c>
      <c r="D51" s="53"/>
      <c r="E51" s="1"/>
      <c r="F51" s="53"/>
      <c r="G51" s="59">
        <f t="shared" si="1"/>
        <v>0</v>
      </c>
      <c r="H51" s="53"/>
      <c r="I51" s="53"/>
      <c r="J51" s="29"/>
      <c r="K51" s="29"/>
    </row>
    <row r="52" spans="1:11" ht="18.75" customHeight="1" x14ac:dyDescent="0.25">
      <c r="A52" s="57" t="s">
        <v>476</v>
      </c>
      <c r="B52" s="53"/>
      <c r="C52" s="58">
        <v>114</v>
      </c>
      <c r="D52" s="53"/>
      <c r="E52" s="1"/>
      <c r="F52" s="53"/>
      <c r="G52" s="59">
        <f t="shared" si="1"/>
        <v>0</v>
      </c>
      <c r="H52" s="53"/>
      <c r="I52" s="53"/>
      <c r="J52" s="29"/>
      <c r="K52" s="29"/>
    </row>
    <row r="53" spans="1:11" ht="18.75" customHeight="1" x14ac:dyDescent="0.25">
      <c r="A53" s="57" t="s">
        <v>477</v>
      </c>
      <c r="B53" s="53"/>
      <c r="C53" s="58">
        <v>229</v>
      </c>
      <c r="D53" s="53"/>
      <c r="E53" s="1"/>
      <c r="F53" s="53"/>
      <c r="G53" s="59">
        <f t="shared" si="1"/>
        <v>0</v>
      </c>
      <c r="H53" s="53"/>
      <c r="I53" s="53"/>
      <c r="J53" s="29"/>
      <c r="K53" s="29"/>
    </row>
    <row r="54" spans="1:11" ht="18.75" customHeight="1" x14ac:dyDescent="0.25">
      <c r="A54" s="57" t="s">
        <v>563</v>
      </c>
      <c r="B54" s="53"/>
      <c r="C54" s="58">
        <v>731</v>
      </c>
      <c r="D54" s="53"/>
      <c r="E54" s="1"/>
      <c r="F54" s="53"/>
      <c r="G54" s="59">
        <f t="shared" si="1"/>
        <v>0</v>
      </c>
      <c r="H54" s="53"/>
      <c r="I54" s="53"/>
      <c r="J54" s="29"/>
      <c r="K54" s="29"/>
    </row>
    <row r="55" spans="1:11" ht="18.75" customHeight="1" x14ac:dyDescent="0.25">
      <c r="A55" s="57" t="s">
        <v>564</v>
      </c>
      <c r="B55" s="53"/>
      <c r="C55" s="58">
        <v>534</v>
      </c>
      <c r="D55" s="53"/>
      <c r="E55" s="1"/>
      <c r="F55" s="53"/>
      <c r="G55" s="59">
        <f t="shared" si="1"/>
        <v>0</v>
      </c>
      <c r="H55" s="53"/>
      <c r="I55" s="53"/>
      <c r="J55" s="29"/>
      <c r="K55" s="29"/>
    </row>
    <row r="56" spans="1:11" ht="18.75" customHeight="1" x14ac:dyDescent="0.25">
      <c r="A56" s="57" t="s">
        <v>478</v>
      </c>
      <c r="B56" s="53"/>
      <c r="C56" s="58">
        <v>1201</v>
      </c>
      <c r="D56" s="53"/>
      <c r="E56" s="1"/>
      <c r="F56" s="53"/>
      <c r="G56" s="59">
        <f t="shared" si="1"/>
        <v>0</v>
      </c>
      <c r="H56" s="53"/>
      <c r="I56" s="53"/>
      <c r="J56" s="29"/>
      <c r="K56" s="29"/>
    </row>
    <row r="57" spans="1:11" ht="18.75" customHeight="1" x14ac:dyDescent="0.25">
      <c r="A57" s="57" t="s">
        <v>425</v>
      </c>
      <c r="B57" s="53"/>
      <c r="C57" s="58">
        <v>335</v>
      </c>
      <c r="D57" s="53"/>
      <c r="E57" s="1"/>
      <c r="F57" s="53"/>
      <c r="G57" s="59">
        <f t="shared" si="1"/>
        <v>0</v>
      </c>
      <c r="H57" s="53"/>
      <c r="I57" s="53"/>
      <c r="J57" s="29"/>
      <c r="K57" s="29"/>
    </row>
    <row r="58" spans="1:11" ht="18.75" customHeight="1" x14ac:dyDescent="0.25">
      <c r="A58" s="57" t="s">
        <v>142</v>
      </c>
      <c r="B58" s="53"/>
      <c r="C58" s="58">
        <v>520</v>
      </c>
      <c r="D58" s="53"/>
      <c r="E58" s="1"/>
      <c r="F58" s="53"/>
      <c r="G58" s="59">
        <f t="shared" si="1"/>
        <v>0</v>
      </c>
      <c r="H58" s="53"/>
      <c r="I58" s="53"/>
      <c r="J58" s="29"/>
      <c r="K58" s="29"/>
    </row>
    <row r="59" spans="1:11" ht="18.75" customHeight="1" x14ac:dyDescent="0.25">
      <c r="A59" s="57" t="s">
        <v>479</v>
      </c>
      <c r="B59" s="53"/>
      <c r="C59" s="58">
        <v>659</v>
      </c>
      <c r="D59" s="53"/>
      <c r="E59" s="1"/>
      <c r="F59" s="53"/>
      <c r="G59" s="59">
        <f t="shared" si="1"/>
        <v>0</v>
      </c>
      <c r="H59" s="53"/>
      <c r="I59" s="53"/>
      <c r="J59" s="29"/>
      <c r="K59" s="29"/>
    </row>
    <row r="60" spans="1:11" ht="18.75" customHeight="1" x14ac:dyDescent="0.25">
      <c r="A60" s="57" t="s">
        <v>54</v>
      </c>
      <c r="B60" s="53"/>
      <c r="C60" s="58">
        <v>1146</v>
      </c>
      <c r="D60" s="53"/>
      <c r="E60" s="1"/>
      <c r="F60" s="53"/>
      <c r="G60" s="59">
        <f t="shared" si="1"/>
        <v>0</v>
      </c>
      <c r="H60" s="53"/>
      <c r="I60" s="53"/>
      <c r="J60" s="29"/>
      <c r="K60" s="29"/>
    </row>
    <row r="61" spans="1:11" ht="18.75" customHeight="1" x14ac:dyDescent="0.25">
      <c r="A61" s="57" t="s">
        <v>426</v>
      </c>
      <c r="B61" s="53"/>
      <c r="C61" s="58">
        <v>1200</v>
      </c>
      <c r="D61" s="53"/>
      <c r="E61" s="1"/>
      <c r="F61" s="53"/>
      <c r="G61" s="59">
        <f t="shared" si="1"/>
        <v>0</v>
      </c>
      <c r="H61" s="53"/>
      <c r="I61" s="53"/>
      <c r="J61" s="29"/>
      <c r="K61" s="29"/>
    </row>
    <row r="62" spans="1:11" ht="18.75" customHeight="1" x14ac:dyDescent="0.25">
      <c r="A62" s="57" t="s">
        <v>427</v>
      </c>
      <c r="B62" s="53"/>
      <c r="C62" s="58">
        <v>1861</v>
      </c>
      <c r="D62" s="53"/>
      <c r="E62" s="1"/>
      <c r="F62" s="53"/>
      <c r="G62" s="59">
        <f t="shared" si="1"/>
        <v>0</v>
      </c>
      <c r="H62" s="53"/>
      <c r="I62" s="53"/>
      <c r="J62" s="29"/>
      <c r="K62" s="29"/>
    </row>
    <row r="63" spans="1:11" ht="18.75" customHeight="1" x14ac:dyDescent="0.25">
      <c r="A63" s="57" t="s">
        <v>428</v>
      </c>
      <c r="B63" s="53"/>
      <c r="C63" s="58">
        <v>1070</v>
      </c>
      <c r="D63" s="53"/>
      <c r="E63" s="1"/>
      <c r="F63" s="53"/>
      <c r="G63" s="59">
        <f t="shared" si="1"/>
        <v>0</v>
      </c>
      <c r="H63" s="53"/>
      <c r="I63" s="53"/>
      <c r="J63" s="29"/>
      <c r="K63" s="29"/>
    </row>
    <row r="64" spans="1:11" ht="18.75" customHeight="1" x14ac:dyDescent="0.25">
      <c r="A64" s="57" t="s">
        <v>430</v>
      </c>
      <c r="B64" s="53"/>
      <c r="C64" s="58">
        <v>280</v>
      </c>
      <c r="D64" s="53"/>
      <c r="E64" s="1"/>
      <c r="F64" s="53"/>
      <c r="G64" s="59">
        <f t="shared" si="1"/>
        <v>0</v>
      </c>
      <c r="H64" s="53"/>
      <c r="I64" s="53"/>
      <c r="J64" s="29"/>
      <c r="K64" s="29"/>
    </row>
    <row r="65" spans="1:11" ht="18.75" customHeight="1" x14ac:dyDescent="0.25">
      <c r="A65" s="57" t="s">
        <v>565</v>
      </c>
      <c r="B65" s="53"/>
      <c r="C65" s="58">
        <v>1474</v>
      </c>
      <c r="D65" s="53"/>
      <c r="E65" s="1"/>
      <c r="F65" s="53"/>
      <c r="G65" s="59">
        <f t="shared" si="1"/>
        <v>0</v>
      </c>
      <c r="H65" s="53"/>
      <c r="I65" s="53"/>
      <c r="J65" s="29"/>
      <c r="K65" s="29"/>
    </row>
    <row r="66" spans="1:11" ht="18.75" customHeight="1" x14ac:dyDescent="0.25">
      <c r="A66" s="57" t="s">
        <v>433</v>
      </c>
      <c r="B66" s="53"/>
      <c r="C66" s="58">
        <v>2200</v>
      </c>
      <c r="D66" s="53"/>
      <c r="E66" s="1"/>
      <c r="F66" s="53"/>
      <c r="G66" s="59">
        <f t="shared" si="1"/>
        <v>0</v>
      </c>
      <c r="H66" s="53"/>
      <c r="I66" s="53"/>
      <c r="J66" s="29"/>
      <c r="K66" s="29"/>
    </row>
    <row r="67" spans="1:11" ht="18.75" customHeight="1" x14ac:dyDescent="0.25">
      <c r="A67" s="57" t="s">
        <v>282</v>
      </c>
      <c r="B67" s="53"/>
      <c r="C67" s="58">
        <v>796</v>
      </c>
      <c r="D67" s="53"/>
      <c r="E67" s="1"/>
      <c r="F67" s="53"/>
      <c r="G67" s="59">
        <f t="shared" si="1"/>
        <v>0</v>
      </c>
      <c r="H67" s="53"/>
      <c r="I67" s="53"/>
      <c r="J67" s="29"/>
      <c r="K67" s="29"/>
    </row>
    <row r="68" spans="1:11" ht="18.75" customHeight="1" x14ac:dyDescent="0.25">
      <c r="A68" s="57" t="s">
        <v>283</v>
      </c>
      <c r="B68" s="53"/>
      <c r="C68" s="58">
        <v>155</v>
      </c>
      <c r="D68" s="53"/>
      <c r="E68" s="1"/>
      <c r="F68" s="53"/>
      <c r="G68" s="59">
        <f t="shared" si="1"/>
        <v>0</v>
      </c>
      <c r="H68" s="53"/>
      <c r="I68" s="53"/>
      <c r="J68" s="29"/>
      <c r="K68" s="29"/>
    </row>
    <row r="69" spans="1:11" ht="18.75" customHeight="1" x14ac:dyDescent="0.25">
      <c r="A69" s="57" t="s">
        <v>284</v>
      </c>
      <c r="B69" s="53"/>
      <c r="C69" s="58">
        <v>659</v>
      </c>
      <c r="D69" s="53"/>
      <c r="E69" s="1"/>
      <c r="F69" s="53"/>
      <c r="G69" s="59">
        <f t="shared" si="1"/>
        <v>0</v>
      </c>
      <c r="H69" s="53"/>
      <c r="I69" s="53"/>
      <c r="J69" s="29"/>
      <c r="K69" s="29"/>
    </row>
    <row r="70" spans="1:11" ht="18.75" customHeight="1" x14ac:dyDescent="0.25">
      <c r="A70" s="57" t="s">
        <v>285</v>
      </c>
      <c r="B70" s="53"/>
      <c r="C70" s="58">
        <v>2625</v>
      </c>
      <c r="D70" s="53"/>
      <c r="E70" s="1"/>
      <c r="F70" s="53"/>
      <c r="G70" s="59">
        <f t="shared" si="1"/>
        <v>0</v>
      </c>
      <c r="H70" s="53"/>
      <c r="I70" s="53"/>
      <c r="J70" s="29"/>
      <c r="K70" s="29"/>
    </row>
    <row r="71" spans="1:11" ht="18.75" customHeight="1" x14ac:dyDescent="0.25">
      <c r="A71" s="57" t="s">
        <v>480</v>
      </c>
      <c r="B71" s="53"/>
      <c r="C71" s="58">
        <v>168</v>
      </c>
      <c r="D71" s="53"/>
      <c r="E71" s="1"/>
      <c r="F71" s="53"/>
      <c r="G71" s="59">
        <f t="shared" si="1"/>
        <v>0</v>
      </c>
      <c r="H71" s="53"/>
      <c r="I71" s="53"/>
      <c r="J71" s="29"/>
      <c r="K71" s="29"/>
    </row>
    <row r="72" spans="1:11" ht="18.75" customHeight="1" x14ac:dyDescent="0.25">
      <c r="A72" s="57" t="s">
        <v>481</v>
      </c>
      <c r="B72" s="53"/>
      <c r="C72" s="58">
        <v>271</v>
      </c>
      <c r="D72" s="53"/>
      <c r="E72" s="1"/>
      <c r="F72" s="53"/>
      <c r="G72" s="59">
        <f t="shared" si="1"/>
        <v>0</v>
      </c>
      <c r="H72" s="53"/>
      <c r="I72" s="53"/>
      <c r="J72" s="29"/>
      <c r="K72" s="29"/>
    </row>
    <row r="73" spans="1:11" ht="18.75" customHeight="1" x14ac:dyDescent="0.25">
      <c r="A73" s="57" t="s">
        <v>566</v>
      </c>
      <c r="B73" s="53"/>
      <c r="C73" s="58">
        <v>241</v>
      </c>
      <c r="D73" s="53"/>
      <c r="E73" s="1"/>
      <c r="F73" s="53"/>
      <c r="G73" s="59">
        <f t="shared" si="1"/>
        <v>0</v>
      </c>
      <c r="H73" s="53"/>
      <c r="I73" s="53"/>
      <c r="J73" s="29"/>
      <c r="K73" s="29"/>
    </row>
    <row r="74" spans="1:11" ht="18.75" customHeight="1" x14ac:dyDescent="0.25">
      <c r="A74" s="57" t="s">
        <v>152</v>
      </c>
      <c r="B74" s="53"/>
      <c r="C74" s="58">
        <v>442</v>
      </c>
      <c r="D74" s="53"/>
      <c r="E74" s="1"/>
      <c r="F74" s="53"/>
      <c r="G74" s="59">
        <f t="shared" si="1"/>
        <v>0</v>
      </c>
      <c r="H74" s="53"/>
      <c r="I74" s="53"/>
      <c r="J74" s="29"/>
      <c r="K74" s="29"/>
    </row>
    <row r="75" spans="1:11" ht="18.75" customHeight="1" x14ac:dyDescent="0.25">
      <c r="A75" s="57" t="s">
        <v>482</v>
      </c>
      <c r="B75" s="53"/>
      <c r="C75" s="58">
        <v>376</v>
      </c>
      <c r="D75" s="53"/>
      <c r="E75" s="1"/>
      <c r="F75" s="53"/>
      <c r="G75" s="59">
        <f t="shared" si="1"/>
        <v>0</v>
      </c>
      <c r="H75" s="53"/>
      <c r="I75" s="53"/>
      <c r="J75" s="29"/>
      <c r="K75" s="29"/>
    </row>
    <row r="76" spans="1:11" ht="18.75" customHeight="1" x14ac:dyDescent="0.25">
      <c r="A76" s="57" t="s">
        <v>154</v>
      </c>
      <c r="B76" s="53"/>
      <c r="C76" s="58">
        <v>2325</v>
      </c>
      <c r="D76" s="53"/>
      <c r="E76" s="1"/>
      <c r="F76" s="53"/>
      <c r="G76" s="59">
        <f t="shared" si="1"/>
        <v>0</v>
      </c>
      <c r="H76" s="53"/>
      <c r="I76" s="53"/>
      <c r="J76" s="29"/>
      <c r="K76" s="29"/>
    </row>
    <row r="77" spans="1:11" ht="18.75" customHeight="1" x14ac:dyDescent="0.25">
      <c r="A77" s="57" t="s">
        <v>483</v>
      </c>
      <c r="B77" s="53"/>
      <c r="C77" s="58">
        <v>622</v>
      </c>
      <c r="D77" s="53"/>
      <c r="E77" s="1"/>
      <c r="F77" s="53"/>
      <c r="G77" s="59">
        <f t="shared" si="1"/>
        <v>0</v>
      </c>
      <c r="H77" s="53"/>
      <c r="I77" s="53"/>
      <c r="J77" s="29"/>
      <c r="K77" s="29"/>
    </row>
    <row r="78" spans="1:11" ht="18.75" customHeight="1" x14ac:dyDescent="0.25">
      <c r="A78" s="57" t="s">
        <v>434</v>
      </c>
      <c r="B78" s="53"/>
      <c r="C78" s="58">
        <v>1626</v>
      </c>
      <c r="D78" s="53"/>
      <c r="E78" s="1"/>
      <c r="F78" s="53"/>
      <c r="G78" s="59">
        <f t="shared" si="1"/>
        <v>0</v>
      </c>
      <c r="H78" s="53"/>
      <c r="I78" s="53"/>
      <c r="J78" s="29"/>
      <c r="K78" s="29"/>
    </row>
    <row r="79" spans="1:11" ht="18.75" customHeight="1" x14ac:dyDescent="0.25">
      <c r="A79" s="57" t="s">
        <v>435</v>
      </c>
      <c r="B79" s="53"/>
      <c r="C79" s="58">
        <v>400</v>
      </c>
      <c r="D79" s="53"/>
      <c r="E79" s="1"/>
      <c r="F79" s="53"/>
      <c r="G79" s="59">
        <f t="shared" si="1"/>
        <v>0</v>
      </c>
      <c r="H79" s="53"/>
      <c r="I79" s="53"/>
      <c r="J79" s="29"/>
      <c r="K79" s="29"/>
    </row>
    <row r="80" spans="1:11" ht="18.75" customHeight="1" x14ac:dyDescent="0.25">
      <c r="A80" s="57" t="s">
        <v>67</v>
      </c>
      <c r="B80" s="53"/>
      <c r="C80" s="58">
        <v>2140</v>
      </c>
      <c r="D80" s="53"/>
      <c r="E80" s="1"/>
      <c r="F80" s="53"/>
      <c r="G80" s="59">
        <f t="shared" si="1"/>
        <v>0</v>
      </c>
      <c r="H80" s="53"/>
      <c r="I80" s="53"/>
      <c r="J80" s="29"/>
      <c r="K80" s="29"/>
    </row>
    <row r="81" spans="1:11" ht="18.75" customHeight="1" x14ac:dyDescent="0.25">
      <c r="A81" s="57" t="s">
        <v>533</v>
      </c>
      <c r="B81" s="53"/>
      <c r="C81" s="58">
        <v>240</v>
      </c>
      <c r="D81" s="53"/>
      <c r="E81" s="1"/>
      <c r="F81" s="53"/>
      <c r="G81" s="59">
        <f t="shared" si="1"/>
        <v>0</v>
      </c>
      <c r="H81" s="53"/>
      <c r="I81" s="53"/>
      <c r="J81" s="29"/>
      <c r="K81" s="29"/>
    </row>
    <row r="82" spans="1:11" ht="18.75" customHeight="1" x14ac:dyDescent="0.25">
      <c r="A82" s="57" t="s">
        <v>156</v>
      </c>
      <c r="B82" s="53"/>
      <c r="C82" s="58">
        <v>5124</v>
      </c>
      <c r="D82" s="53"/>
      <c r="E82" s="1"/>
      <c r="F82" s="53"/>
      <c r="G82" s="59">
        <f t="shared" si="1"/>
        <v>0</v>
      </c>
      <c r="H82" s="53"/>
      <c r="I82" s="53"/>
      <c r="J82" s="29"/>
      <c r="K82" s="29"/>
    </row>
    <row r="83" spans="1:11" ht="18.75" customHeight="1" x14ac:dyDescent="0.25">
      <c r="A83" s="57" t="s">
        <v>436</v>
      </c>
      <c r="B83" s="53"/>
      <c r="C83" s="58">
        <v>1221</v>
      </c>
      <c r="D83" s="53"/>
      <c r="E83" s="1"/>
      <c r="F83" s="53"/>
      <c r="G83" s="59">
        <f t="shared" si="1"/>
        <v>0</v>
      </c>
      <c r="H83" s="53"/>
      <c r="I83" s="53"/>
      <c r="J83" s="29"/>
      <c r="K83" s="29"/>
    </row>
    <row r="84" spans="1:11" ht="18.75" customHeight="1" x14ac:dyDescent="0.25">
      <c r="A84" s="57" t="s">
        <v>567</v>
      </c>
      <c r="B84" s="53"/>
      <c r="C84" s="58">
        <v>30</v>
      </c>
      <c r="D84" s="53"/>
      <c r="E84" s="1"/>
      <c r="F84" s="53"/>
      <c r="G84" s="59">
        <f t="shared" si="1"/>
        <v>0</v>
      </c>
      <c r="H84" s="53"/>
      <c r="I84" s="53"/>
      <c r="J84" s="29"/>
      <c r="K84" s="29"/>
    </row>
    <row r="85" spans="1:11" ht="18.75" customHeight="1" x14ac:dyDescent="0.25">
      <c r="A85" s="57" t="s">
        <v>568</v>
      </c>
      <c r="B85" s="53"/>
      <c r="C85" s="58">
        <v>150</v>
      </c>
      <c r="D85" s="53"/>
      <c r="E85" s="1"/>
      <c r="F85" s="53"/>
      <c r="G85" s="59">
        <f t="shared" si="1"/>
        <v>0</v>
      </c>
      <c r="H85" s="53"/>
      <c r="I85" s="53"/>
      <c r="J85" s="29"/>
      <c r="K85" s="29"/>
    </row>
    <row r="86" spans="1:11" ht="18.75" customHeight="1" x14ac:dyDescent="0.25">
      <c r="A86" s="57" t="s">
        <v>439</v>
      </c>
      <c r="B86" s="103"/>
      <c r="C86" s="58">
        <v>30</v>
      </c>
      <c r="D86" s="53"/>
      <c r="E86" s="1"/>
      <c r="F86" s="53"/>
      <c r="G86" s="59">
        <f t="shared" si="1"/>
        <v>0</v>
      </c>
      <c r="H86" s="53"/>
      <c r="I86" s="53"/>
      <c r="J86" s="29"/>
      <c r="K86" s="29"/>
    </row>
    <row r="87" spans="1:11" ht="18.75" customHeight="1" x14ac:dyDescent="0.25">
      <c r="A87" s="57" t="s">
        <v>440</v>
      </c>
      <c r="B87" s="53"/>
      <c r="C87" s="58">
        <v>360</v>
      </c>
      <c r="D87" s="53"/>
      <c r="E87" s="1"/>
      <c r="F87" s="53"/>
      <c r="G87" s="59">
        <f t="shared" si="1"/>
        <v>0</v>
      </c>
      <c r="H87" s="53"/>
      <c r="I87" s="53"/>
      <c r="J87" s="29"/>
      <c r="K87" s="29"/>
    </row>
    <row r="88" spans="1:11" ht="18.75" customHeight="1" x14ac:dyDescent="0.25">
      <c r="A88" s="57" t="s">
        <v>441</v>
      </c>
      <c r="B88" s="53"/>
      <c r="C88" s="58">
        <v>1680</v>
      </c>
      <c r="D88" s="53"/>
      <c r="E88" s="1"/>
      <c r="F88" s="53"/>
      <c r="G88" s="59">
        <f t="shared" si="1"/>
        <v>0</v>
      </c>
      <c r="H88" s="53"/>
      <c r="I88" s="53"/>
      <c r="J88" s="29"/>
      <c r="K88" s="29"/>
    </row>
    <row r="89" spans="1:11" ht="18.75" customHeight="1" x14ac:dyDescent="0.25">
      <c r="A89" s="57" t="s">
        <v>569</v>
      </c>
      <c r="B89" s="53"/>
      <c r="C89" s="58">
        <v>120</v>
      </c>
      <c r="D89" s="53"/>
      <c r="E89" s="1"/>
      <c r="F89" s="53"/>
      <c r="G89" s="59">
        <f t="shared" si="1"/>
        <v>0</v>
      </c>
      <c r="H89" s="53"/>
      <c r="I89" s="53"/>
      <c r="J89" s="29"/>
      <c r="K89" s="29"/>
    </row>
    <row r="90" spans="1:11" ht="18.75" customHeight="1" x14ac:dyDescent="0.25">
      <c r="A90" s="57" t="s">
        <v>437</v>
      </c>
      <c r="B90" s="53"/>
      <c r="C90" s="58">
        <v>660</v>
      </c>
      <c r="D90" s="53"/>
      <c r="E90" s="1"/>
      <c r="F90" s="53"/>
      <c r="G90" s="59">
        <f t="shared" si="1"/>
        <v>0</v>
      </c>
      <c r="H90" s="53"/>
      <c r="I90" s="53"/>
      <c r="J90" s="29"/>
      <c r="K90" s="29"/>
    </row>
    <row r="91" spans="1:11" ht="18.75" customHeight="1" x14ac:dyDescent="0.25">
      <c r="A91" s="57" t="s">
        <v>534</v>
      </c>
      <c r="B91" s="53"/>
      <c r="C91" s="58">
        <v>94</v>
      </c>
      <c r="D91" s="53"/>
      <c r="E91" s="1"/>
      <c r="F91" s="53"/>
      <c r="G91" s="59">
        <f t="shared" si="1"/>
        <v>0</v>
      </c>
      <c r="H91" s="53"/>
      <c r="I91" s="53"/>
      <c r="J91" s="29"/>
      <c r="K91" s="29"/>
    </row>
    <row r="92" spans="1:11" ht="18.75" customHeight="1" x14ac:dyDescent="0.25">
      <c r="A92" s="57" t="s">
        <v>446</v>
      </c>
      <c r="B92" s="53"/>
      <c r="C92" s="58">
        <v>53</v>
      </c>
      <c r="D92" s="53"/>
      <c r="E92" s="1"/>
      <c r="F92" s="53"/>
      <c r="G92" s="59">
        <f t="shared" si="1"/>
        <v>0</v>
      </c>
      <c r="H92" s="53"/>
      <c r="I92" s="53"/>
      <c r="J92" s="29"/>
      <c r="K92" s="29"/>
    </row>
    <row r="93" spans="1:11" ht="18.75" customHeight="1" x14ac:dyDescent="0.25">
      <c r="A93" s="57" t="s">
        <v>484</v>
      </c>
      <c r="B93" s="53"/>
      <c r="C93" s="58">
        <v>65</v>
      </c>
      <c r="D93" s="53"/>
      <c r="E93" s="1"/>
      <c r="F93" s="53"/>
      <c r="G93" s="59">
        <f t="shared" ref="G93:G143" si="2">C93*E93</f>
        <v>0</v>
      </c>
      <c r="H93" s="53"/>
      <c r="I93" s="53"/>
      <c r="J93" s="29"/>
      <c r="K93" s="29"/>
    </row>
    <row r="94" spans="1:11" ht="18.75" customHeight="1" x14ac:dyDescent="0.25">
      <c r="A94" s="57" t="s">
        <v>570</v>
      </c>
      <c r="B94" s="53"/>
      <c r="C94" s="58">
        <v>54</v>
      </c>
      <c r="D94" s="53"/>
      <c r="E94" s="1"/>
      <c r="F94" s="53"/>
      <c r="G94" s="59">
        <f t="shared" si="2"/>
        <v>0</v>
      </c>
      <c r="H94" s="53"/>
      <c r="I94" s="53"/>
      <c r="J94" s="29"/>
      <c r="K94" s="29"/>
    </row>
    <row r="95" spans="1:11" ht="18.75" customHeight="1" x14ac:dyDescent="0.25">
      <c r="A95" s="57" t="s">
        <v>160</v>
      </c>
      <c r="B95" s="53"/>
      <c r="C95" s="58">
        <v>495</v>
      </c>
      <c r="D95" s="53"/>
      <c r="E95" s="1"/>
      <c r="F95" s="53"/>
      <c r="G95" s="59">
        <f t="shared" si="2"/>
        <v>0</v>
      </c>
      <c r="H95" s="53"/>
      <c r="I95" s="53"/>
      <c r="J95" s="29"/>
      <c r="K95" s="29"/>
    </row>
    <row r="96" spans="1:11" ht="18.75" customHeight="1" x14ac:dyDescent="0.25">
      <c r="A96" s="57" t="s">
        <v>571</v>
      </c>
      <c r="B96" s="53"/>
      <c r="C96" s="58">
        <v>76</v>
      </c>
      <c r="D96" s="53"/>
      <c r="E96" s="1"/>
      <c r="F96" s="53"/>
      <c r="G96" s="59">
        <f t="shared" si="2"/>
        <v>0</v>
      </c>
      <c r="H96" s="53"/>
      <c r="I96" s="53"/>
      <c r="J96" s="29"/>
      <c r="K96" s="29"/>
    </row>
    <row r="97" spans="1:11" ht="18.75" customHeight="1" x14ac:dyDescent="0.25">
      <c r="A97" s="57" t="s">
        <v>448</v>
      </c>
      <c r="B97" s="53"/>
      <c r="C97" s="58">
        <v>184</v>
      </c>
      <c r="D97" s="53"/>
      <c r="E97" s="1"/>
      <c r="F97" s="53"/>
      <c r="G97" s="59">
        <f t="shared" si="2"/>
        <v>0</v>
      </c>
      <c r="H97" s="53"/>
      <c r="I97" s="53"/>
      <c r="J97" s="29"/>
      <c r="K97" s="29"/>
    </row>
    <row r="98" spans="1:11" ht="18.75" customHeight="1" x14ac:dyDescent="0.25">
      <c r="A98" s="57" t="s">
        <v>572</v>
      </c>
      <c r="B98" s="53"/>
      <c r="C98" s="58">
        <v>13</v>
      </c>
      <c r="D98" s="53"/>
      <c r="E98" s="1"/>
      <c r="F98" s="53"/>
      <c r="G98" s="59">
        <f t="shared" si="2"/>
        <v>0</v>
      </c>
      <c r="H98" s="53"/>
      <c r="I98" s="53"/>
      <c r="J98" s="29"/>
      <c r="K98" s="29"/>
    </row>
    <row r="99" spans="1:11" ht="18.75" customHeight="1" x14ac:dyDescent="0.25">
      <c r="A99" s="57" t="s">
        <v>538</v>
      </c>
      <c r="B99" s="53"/>
      <c r="C99" s="58">
        <v>196</v>
      </c>
      <c r="D99" s="53"/>
      <c r="E99" s="1"/>
      <c r="F99" s="53"/>
      <c r="G99" s="59">
        <f t="shared" si="2"/>
        <v>0</v>
      </c>
      <c r="H99" s="53"/>
      <c r="I99" s="53"/>
      <c r="J99" s="29"/>
      <c r="K99" s="29"/>
    </row>
    <row r="100" spans="1:11" ht="18.75" customHeight="1" x14ac:dyDescent="0.25">
      <c r="A100" s="57" t="s">
        <v>485</v>
      </c>
      <c r="B100" s="53"/>
      <c r="C100" s="58">
        <v>1250</v>
      </c>
      <c r="D100" s="53"/>
      <c r="E100" s="1"/>
      <c r="F100" s="53"/>
      <c r="G100" s="59">
        <f t="shared" si="2"/>
        <v>0</v>
      </c>
      <c r="H100" s="53"/>
      <c r="I100" s="53"/>
      <c r="J100" s="29"/>
      <c r="K100" s="29"/>
    </row>
    <row r="101" spans="1:11" ht="18.75" customHeight="1" x14ac:dyDescent="0.25">
      <c r="A101" s="57" t="s">
        <v>486</v>
      </c>
      <c r="B101" s="53"/>
      <c r="C101" s="58">
        <v>384</v>
      </c>
      <c r="D101" s="53"/>
      <c r="E101" s="1"/>
      <c r="F101" s="53"/>
      <c r="G101" s="59">
        <f t="shared" si="2"/>
        <v>0</v>
      </c>
      <c r="H101" s="53"/>
      <c r="I101" s="53"/>
      <c r="J101" s="29"/>
      <c r="K101" s="29"/>
    </row>
    <row r="102" spans="1:11" ht="18.75" customHeight="1" x14ac:dyDescent="0.25">
      <c r="A102" s="57" t="s">
        <v>487</v>
      </c>
      <c r="B102" s="53"/>
      <c r="C102" s="58">
        <v>90</v>
      </c>
      <c r="D102" s="53"/>
      <c r="E102" s="1"/>
      <c r="F102" s="53"/>
      <c r="G102" s="59">
        <f t="shared" si="2"/>
        <v>0</v>
      </c>
      <c r="H102" s="53"/>
      <c r="I102" s="53"/>
      <c r="J102" s="29"/>
      <c r="K102" s="29"/>
    </row>
    <row r="103" spans="1:11" ht="18.75" customHeight="1" x14ac:dyDescent="0.25">
      <c r="A103" s="57" t="s">
        <v>163</v>
      </c>
      <c r="B103" s="53"/>
      <c r="C103" s="58">
        <v>534</v>
      </c>
      <c r="D103" s="53"/>
      <c r="E103" s="1"/>
      <c r="F103" s="53"/>
      <c r="G103" s="59">
        <f t="shared" si="2"/>
        <v>0</v>
      </c>
      <c r="H103" s="53"/>
      <c r="I103" s="53"/>
      <c r="J103" s="29"/>
      <c r="K103" s="29"/>
    </row>
    <row r="104" spans="1:11" ht="18.75" customHeight="1" x14ac:dyDescent="0.25">
      <c r="A104" s="57" t="s">
        <v>450</v>
      </c>
      <c r="B104" s="53"/>
      <c r="C104" s="58">
        <v>1032</v>
      </c>
      <c r="D104" s="53"/>
      <c r="E104" s="1"/>
      <c r="F104" s="53"/>
      <c r="G104" s="59">
        <f t="shared" si="2"/>
        <v>0</v>
      </c>
      <c r="H104" s="53"/>
      <c r="I104" s="53"/>
      <c r="J104" s="29"/>
      <c r="K104" s="29"/>
    </row>
    <row r="105" spans="1:11" ht="18.75" customHeight="1" x14ac:dyDescent="0.25">
      <c r="A105" s="57" t="s">
        <v>451</v>
      </c>
      <c r="B105" s="53"/>
      <c r="C105" s="58">
        <v>938</v>
      </c>
      <c r="D105" s="53"/>
      <c r="E105" s="1"/>
      <c r="F105" s="53"/>
      <c r="G105" s="59">
        <f t="shared" si="2"/>
        <v>0</v>
      </c>
      <c r="H105" s="53"/>
      <c r="I105" s="53"/>
      <c r="J105" s="29"/>
      <c r="K105" s="29"/>
    </row>
    <row r="106" spans="1:11" ht="18.75" customHeight="1" x14ac:dyDescent="0.25">
      <c r="A106" s="57" t="s">
        <v>488</v>
      </c>
      <c r="B106" s="53"/>
      <c r="C106" s="58">
        <v>182</v>
      </c>
      <c r="D106" s="53"/>
      <c r="E106" s="1"/>
      <c r="F106" s="53"/>
      <c r="G106" s="59">
        <f t="shared" si="2"/>
        <v>0</v>
      </c>
      <c r="H106" s="53"/>
      <c r="I106" s="53"/>
      <c r="J106" s="29"/>
      <c r="K106" s="29"/>
    </row>
    <row r="107" spans="1:11" ht="18.75" customHeight="1" x14ac:dyDescent="0.25">
      <c r="A107" s="57" t="s">
        <v>167</v>
      </c>
      <c r="B107" s="53"/>
      <c r="C107" s="58">
        <v>596</v>
      </c>
      <c r="D107" s="53"/>
      <c r="E107" s="1"/>
      <c r="F107" s="53"/>
      <c r="G107" s="59">
        <f t="shared" si="2"/>
        <v>0</v>
      </c>
      <c r="H107" s="53"/>
      <c r="I107" s="53"/>
      <c r="J107" s="29"/>
      <c r="K107" s="29"/>
    </row>
    <row r="108" spans="1:11" ht="18.75" customHeight="1" x14ac:dyDescent="0.25">
      <c r="A108" s="57" t="s">
        <v>452</v>
      </c>
      <c r="B108" s="53"/>
      <c r="C108" s="58">
        <v>33</v>
      </c>
      <c r="D108" s="53"/>
      <c r="E108" s="1"/>
      <c r="F108" s="53"/>
      <c r="G108" s="59">
        <f t="shared" si="2"/>
        <v>0</v>
      </c>
      <c r="H108" s="53"/>
      <c r="I108" s="53"/>
      <c r="J108" s="29"/>
      <c r="K108" s="29"/>
    </row>
    <row r="109" spans="1:11" ht="18.75" customHeight="1" x14ac:dyDescent="0.25">
      <c r="A109" s="57" t="s">
        <v>573</v>
      </c>
      <c r="B109" s="53"/>
      <c r="C109" s="58">
        <v>2699</v>
      </c>
      <c r="D109" s="53"/>
      <c r="E109" s="1"/>
      <c r="F109" s="53"/>
      <c r="G109" s="59">
        <f t="shared" si="2"/>
        <v>0</v>
      </c>
      <c r="H109" s="53"/>
      <c r="I109" s="53"/>
      <c r="J109" s="29"/>
      <c r="K109" s="29"/>
    </row>
    <row r="110" spans="1:11" ht="18.75" customHeight="1" x14ac:dyDescent="0.25">
      <c r="A110" s="57" t="s">
        <v>574</v>
      </c>
      <c r="B110" s="53"/>
      <c r="C110" s="58">
        <v>209</v>
      </c>
      <c r="D110" s="53"/>
      <c r="E110" s="1"/>
      <c r="F110" s="53"/>
      <c r="G110" s="59">
        <f t="shared" si="2"/>
        <v>0</v>
      </c>
      <c r="H110" s="53"/>
      <c r="I110" s="53"/>
      <c r="J110" s="29"/>
      <c r="K110" s="29"/>
    </row>
    <row r="111" spans="1:11" ht="18.75" customHeight="1" x14ac:dyDescent="0.25">
      <c r="A111" s="57" t="s">
        <v>575</v>
      </c>
      <c r="B111" s="53"/>
      <c r="C111" s="58">
        <v>708</v>
      </c>
      <c r="D111" s="53"/>
      <c r="E111" s="1"/>
      <c r="F111" s="53"/>
      <c r="G111" s="59">
        <f t="shared" si="2"/>
        <v>0</v>
      </c>
      <c r="H111" s="53"/>
      <c r="I111" s="53"/>
      <c r="J111" s="29"/>
      <c r="K111" s="29"/>
    </row>
    <row r="112" spans="1:11" ht="18.75" customHeight="1" x14ac:dyDescent="0.25">
      <c r="A112" s="57" t="s">
        <v>455</v>
      </c>
      <c r="B112" s="53"/>
      <c r="C112" s="58">
        <v>555</v>
      </c>
      <c r="D112" s="53"/>
      <c r="E112" s="1"/>
      <c r="F112" s="53"/>
      <c r="G112" s="59">
        <f t="shared" si="2"/>
        <v>0</v>
      </c>
      <c r="H112" s="53"/>
      <c r="I112" s="53"/>
      <c r="J112" s="29"/>
      <c r="K112" s="29"/>
    </row>
    <row r="113" spans="1:11" ht="18.75" customHeight="1" x14ac:dyDescent="0.25">
      <c r="A113" s="57" t="s">
        <v>576</v>
      </c>
      <c r="B113" s="53"/>
      <c r="C113" s="58">
        <v>860</v>
      </c>
      <c r="D113" s="53"/>
      <c r="E113" s="1"/>
      <c r="F113" s="53"/>
      <c r="G113" s="59">
        <f t="shared" si="2"/>
        <v>0</v>
      </c>
      <c r="H113" s="53"/>
      <c r="I113" s="53"/>
      <c r="J113" s="29"/>
      <c r="K113" s="29"/>
    </row>
    <row r="114" spans="1:11" ht="18.75" customHeight="1" x14ac:dyDescent="0.25">
      <c r="A114" s="57" t="s">
        <v>577</v>
      </c>
      <c r="B114" s="53"/>
      <c r="C114" s="58">
        <v>360</v>
      </c>
      <c r="D114" s="53"/>
      <c r="E114" s="1"/>
      <c r="F114" s="53"/>
      <c r="G114" s="59">
        <f t="shared" si="2"/>
        <v>0</v>
      </c>
      <c r="H114" s="53"/>
      <c r="I114" s="53"/>
      <c r="J114" s="29"/>
      <c r="K114" s="29"/>
    </row>
    <row r="115" spans="1:11" ht="18.75" customHeight="1" x14ac:dyDescent="0.25">
      <c r="A115" s="57" t="s">
        <v>92</v>
      </c>
      <c r="B115" s="53"/>
      <c r="C115" s="58">
        <v>553</v>
      </c>
      <c r="D115" s="53"/>
      <c r="E115" s="1"/>
      <c r="F115" s="53"/>
      <c r="G115" s="59">
        <f t="shared" si="2"/>
        <v>0</v>
      </c>
      <c r="H115" s="53"/>
      <c r="I115" s="53"/>
      <c r="J115" s="29"/>
      <c r="K115" s="29"/>
    </row>
    <row r="116" spans="1:11" ht="18.75" customHeight="1" x14ac:dyDescent="0.25">
      <c r="A116" s="57" t="s">
        <v>456</v>
      </c>
      <c r="B116" s="53"/>
      <c r="C116" s="58">
        <v>175</v>
      </c>
      <c r="D116" s="53"/>
      <c r="E116" s="1"/>
      <c r="F116" s="53"/>
      <c r="G116" s="59">
        <f t="shared" si="2"/>
        <v>0</v>
      </c>
      <c r="H116" s="53"/>
      <c r="I116" s="53"/>
      <c r="J116" s="29"/>
      <c r="K116" s="29"/>
    </row>
    <row r="117" spans="1:11" ht="18.75" customHeight="1" x14ac:dyDescent="0.25">
      <c r="A117" s="57" t="s">
        <v>457</v>
      </c>
      <c r="B117" s="53"/>
      <c r="C117" s="58">
        <v>751</v>
      </c>
      <c r="D117" s="53"/>
      <c r="E117" s="1"/>
      <c r="F117" s="53"/>
      <c r="G117" s="59">
        <f t="shared" si="2"/>
        <v>0</v>
      </c>
      <c r="H117" s="53"/>
      <c r="I117" s="53"/>
      <c r="J117" s="29"/>
      <c r="K117" s="29"/>
    </row>
    <row r="118" spans="1:11" ht="18.75" customHeight="1" x14ac:dyDescent="0.25">
      <c r="A118" s="57" t="s">
        <v>458</v>
      </c>
      <c r="B118" s="53"/>
      <c r="C118" s="58">
        <v>797</v>
      </c>
      <c r="D118" s="53"/>
      <c r="E118" s="1"/>
      <c r="F118" s="53"/>
      <c r="G118" s="59">
        <f t="shared" si="2"/>
        <v>0</v>
      </c>
      <c r="H118" s="53"/>
      <c r="I118" s="53"/>
      <c r="J118" s="29"/>
      <c r="K118" s="29"/>
    </row>
    <row r="119" spans="1:11" ht="18.75" customHeight="1" x14ac:dyDescent="0.25">
      <c r="A119" s="57" t="s">
        <v>459</v>
      </c>
      <c r="B119" s="53"/>
      <c r="C119" s="58">
        <v>907</v>
      </c>
      <c r="D119" s="53"/>
      <c r="E119" s="1"/>
      <c r="F119" s="53"/>
      <c r="G119" s="59">
        <f t="shared" si="2"/>
        <v>0</v>
      </c>
      <c r="H119" s="53"/>
      <c r="I119" s="53"/>
      <c r="J119" s="29"/>
      <c r="K119" s="29"/>
    </row>
    <row r="120" spans="1:11" ht="18.75" customHeight="1" x14ac:dyDescent="0.25">
      <c r="A120" s="57" t="s">
        <v>169</v>
      </c>
      <c r="B120" s="53"/>
      <c r="C120" s="58">
        <v>388</v>
      </c>
      <c r="D120" s="53"/>
      <c r="E120" s="1"/>
      <c r="F120" s="53"/>
      <c r="G120" s="59">
        <f t="shared" si="2"/>
        <v>0</v>
      </c>
      <c r="H120" s="53"/>
      <c r="I120" s="53"/>
      <c r="J120" s="29"/>
      <c r="K120" s="29"/>
    </row>
    <row r="121" spans="1:11" ht="18.75" customHeight="1" x14ac:dyDescent="0.25">
      <c r="A121" s="57" t="s">
        <v>98</v>
      </c>
      <c r="B121" s="53"/>
      <c r="C121" s="58">
        <v>2544</v>
      </c>
      <c r="D121" s="53"/>
      <c r="E121" s="1"/>
      <c r="F121" s="53"/>
      <c r="G121" s="59">
        <f t="shared" si="2"/>
        <v>0</v>
      </c>
      <c r="H121" s="53"/>
      <c r="I121" s="53"/>
      <c r="J121" s="29"/>
      <c r="K121" s="29"/>
    </row>
    <row r="122" spans="1:11" ht="18.75" customHeight="1" x14ac:dyDescent="0.25">
      <c r="A122" s="57" t="s">
        <v>460</v>
      </c>
      <c r="B122" s="53"/>
      <c r="C122" s="58">
        <v>2497</v>
      </c>
      <c r="D122" s="53"/>
      <c r="E122" s="1"/>
      <c r="F122" s="53"/>
      <c r="G122" s="59">
        <f t="shared" si="2"/>
        <v>0</v>
      </c>
      <c r="H122" s="53"/>
      <c r="I122" s="53"/>
      <c r="J122" s="29"/>
      <c r="K122" s="29"/>
    </row>
    <row r="123" spans="1:11" ht="18.75" customHeight="1" x14ac:dyDescent="0.25">
      <c r="A123" s="57" t="s">
        <v>99</v>
      </c>
      <c r="B123" s="53"/>
      <c r="C123" s="58">
        <v>2246</v>
      </c>
      <c r="D123" s="53"/>
      <c r="E123" s="1"/>
      <c r="F123" s="53"/>
      <c r="G123" s="59">
        <f t="shared" si="2"/>
        <v>0</v>
      </c>
      <c r="H123" s="53"/>
      <c r="I123" s="53"/>
      <c r="J123" s="29"/>
      <c r="K123" s="29"/>
    </row>
    <row r="124" spans="1:11" ht="18.75" customHeight="1" x14ac:dyDescent="0.25">
      <c r="A124" s="57" t="s">
        <v>578</v>
      </c>
      <c r="B124" s="53"/>
      <c r="C124" s="58">
        <v>20</v>
      </c>
      <c r="D124" s="53"/>
      <c r="E124" s="1"/>
      <c r="F124" s="53"/>
      <c r="G124" s="59">
        <f t="shared" si="2"/>
        <v>0</v>
      </c>
      <c r="H124" s="53"/>
      <c r="I124" s="53"/>
      <c r="J124" s="29"/>
      <c r="K124" s="29"/>
    </row>
    <row r="125" spans="1:11" ht="18.75" customHeight="1" x14ac:dyDescent="0.25">
      <c r="A125" s="57" t="s">
        <v>579</v>
      </c>
      <c r="B125" s="53"/>
      <c r="C125" s="58">
        <v>369</v>
      </c>
      <c r="D125" s="53"/>
      <c r="E125" s="1"/>
      <c r="F125" s="53"/>
      <c r="G125" s="59">
        <f t="shared" si="2"/>
        <v>0</v>
      </c>
      <c r="H125" s="53"/>
      <c r="I125" s="53"/>
      <c r="J125" s="29"/>
      <c r="K125" s="29"/>
    </row>
    <row r="126" spans="1:11" ht="18.75" customHeight="1" x14ac:dyDescent="0.25">
      <c r="A126" s="57" t="s">
        <v>489</v>
      </c>
      <c r="B126" s="53"/>
      <c r="C126" s="58">
        <v>369</v>
      </c>
      <c r="D126" s="53"/>
      <c r="E126" s="1"/>
      <c r="F126" s="53"/>
      <c r="G126" s="59">
        <f t="shared" si="2"/>
        <v>0</v>
      </c>
      <c r="H126" s="53"/>
      <c r="I126" s="53"/>
      <c r="J126" s="29"/>
      <c r="K126" s="29"/>
    </row>
    <row r="127" spans="1:11" ht="18.75" customHeight="1" x14ac:dyDescent="0.25">
      <c r="A127" s="57" t="s">
        <v>580</v>
      </c>
      <c r="B127" s="53"/>
      <c r="C127" s="58">
        <v>14</v>
      </c>
      <c r="D127" s="53"/>
      <c r="E127" s="1"/>
      <c r="F127" s="53"/>
      <c r="G127" s="59">
        <f t="shared" si="2"/>
        <v>0</v>
      </c>
      <c r="H127" s="53"/>
      <c r="I127" s="53"/>
      <c r="J127" s="29"/>
      <c r="K127" s="29"/>
    </row>
    <row r="128" spans="1:11" ht="18.75" customHeight="1" x14ac:dyDescent="0.25">
      <c r="A128" s="57" t="s">
        <v>581</v>
      </c>
      <c r="B128" s="53"/>
      <c r="C128" s="58">
        <v>104</v>
      </c>
      <c r="D128" s="53"/>
      <c r="E128" s="1"/>
      <c r="F128" s="53"/>
      <c r="G128" s="59">
        <f t="shared" si="2"/>
        <v>0</v>
      </c>
      <c r="H128" s="53"/>
      <c r="I128" s="53"/>
      <c r="J128" s="29"/>
      <c r="K128" s="29"/>
    </row>
    <row r="129" spans="1:11" ht="18.75" customHeight="1" x14ac:dyDescent="0.25">
      <c r="A129" s="57" t="s">
        <v>461</v>
      </c>
      <c r="B129" s="53"/>
      <c r="C129" s="58">
        <v>58</v>
      </c>
      <c r="D129" s="53"/>
      <c r="E129" s="1"/>
      <c r="F129" s="53"/>
      <c r="G129" s="59">
        <f t="shared" si="2"/>
        <v>0</v>
      </c>
      <c r="H129" s="53"/>
      <c r="I129" s="53"/>
      <c r="J129" s="29"/>
      <c r="K129" s="29"/>
    </row>
    <row r="130" spans="1:11" ht="18.75" customHeight="1" x14ac:dyDescent="0.25">
      <c r="A130" s="57" t="s">
        <v>108</v>
      </c>
      <c r="B130" s="53"/>
      <c r="C130" s="58">
        <v>325</v>
      </c>
      <c r="D130" s="53"/>
      <c r="E130" s="1"/>
      <c r="F130" s="53"/>
      <c r="G130" s="59">
        <f t="shared" si="2"/>
        <v>0</v>
      </c>
      <c r="H130" s="53"/>
      <c r="I130" s="53"/>
      <c r="J130" s="29"/>
      <c r="K130" s="29"/>
    </row>
    <row r="131" spans="1:11" ht="18.75" customHeight="1" x14ac:dyDescent="0.25">
      <c r="A131" s="57" t="s">
        <v>490</v>
      </c>
      <c r="B131" s="53"/>
      <c r="C131" s="58">
        <v>805</v>
      </c>
      <c r="D131" s="53"/>
      <c r="E131" s="1"/>
      <c r="F131" s="53"/>
      <c r="G131" s="59">
        <f t="shared" si="2"/>
        <v>0</v>
      </c>
      <c r="H131" s="53"/>
      <c r="I131" s="53"/>
      <c r="J131" s="29"/>
      <c r="K131" s="29"/>
    </row>
    <row r="132" spans="1:11" ht="18.75" customHeight="1" x14ac:dyDescent="0.25">
      <c r="A132" s="57" t="s">
        <v>110</v>
      </c>
      <c r="B132" s="53"/>
      <c r="C132" s="58">
        <v>3732</v>
      </c>
      <c r="D132" s="53"/>
      <c r="E132" s="1"/>
      <c r="F132" s="53"/>
      <c r="G132" s="59">
        <f t="shared" si="2"/>
        <v>0</v>
      </c>
      <c r="H132" s="53"/>
      <c r="I132" s="53"/>
      <c r="J132" s="29"/>
      <c r="K132" s="29"/>
    </row>
    <row r="133" spans="1:11" ht="18.75" customHeight="1" x14ac:dyDescent="0.25">
      <c r="A133" s="57" t="s">
        <v>582</v>
      </c>
      <c r="B133" s="53"/>
      <c r="C133" s="58">
        <v>174</v>
      </c>
      <c r="D133" s="53"/>
      <c r="E133" s="1"/>
      <c r="F133" s="53"/>
      <c r="G133" s="59">
        <f t="shared" si="2"/>
        <v>0</v>
      </c>
      <c r="H133" s="53"/>
      <c r="I133" s="53"/>
      <c r="J133" s="29"/>
      <c r="K133" s="29"/>
    </row>
    <row r="134" spans="1:11" ht="18.75" customHeight="1" x14ac:dyDescent="0.25">
      <c r="A134" s="57" t="s">
        <v>583</v>
      </c>
      <c r="B134" s="53"/>
      <c r="C134" s="58">
        <v>124</v>
      </c>
      <c r="D134" s="53"/>
      <c r="E134" s="1"/>
      <c r="F134" s="53"/>
      <c r="G134" s="59">
        <f t="shared" si="2"/>
        <v>0</v>
      </c>
      <c r="H134" s="53"/>
      <c r="I134" s="53"/>
      <c r="J134" s="29"/>
      <c r="K134" s="29"/>
    </row>
    <row r="135" spans="1:11" ht="18.75" customHeight="1" x14ac:dyDescent="0.25">
      <c r="A135" s="57" t="s">
        <v>584</v>
      </c>
      <c r="B135" s="53"/>
      <c r="C135" s="58">
        <v>125</v>
      </c>
      <c r="D135" s="53"/>
      <c r="E135" s="1"/>
      <c r="F135" s="53"/>
      <c r="G135" s="59">
        <f t="shared" si="2"/>
        <v>0</v>
      </c>
      <c r="H135" s="53"/>
      <c r="I135" s="53"/>
      <c r="J135" s="29"/>
      <c r="K135" s="29"/>
    </row>
    <row r="136" spans="1:11" ht="18.75" customHeight="1" x14ac:dyDescent="0.25">
      <c r="A136" s="57" t="s">
        <v>462</v>
      </c>
      <c r="B136" s="53"/>
      <c r="C136" s="58">
        <v>220</v>
      </c>
      <c r="D136" s="53"/>
      <c r="E136" s="1"/>
      <c r="F136" s="53"/>
      <c r="G136" s="59">
        <f t="shared" si="2"/>
        <v>0</v>
      </c>
      <c r="H136" s="53"/>
      <c r="I136" s="53"/>
      <c r="J136" s="29"/>
      <c r="K136" s="29"/>
    </row>
    <row r="137" spans="1:11" ht="18.75" customHeight="1" x14ac:dyDescent="0.25">
      <c r="A137" s="57" t="s">
        <v>463</v>
      </c>
      <c r="B137" s="53"/>
      <c r="C137" s="58">
        <v>180</v>
      </c>
      <c r="D137" s="53"/>
      <c r="E137" s="1"/>
      <c r="F137" s="53"/>
      <c r="G137" s="59">
        <f t="shared" si="2"/>
        <v>0</v>
      </c>
      <c r="H137" s="53"/>
      <c r="I137" s="53"/>
      <c r="J137" s="29"/>
      <c r="K137" s="29"/>
    </row>
    <row r="138" spans="1:11" ht="18.75" customHeight="1" x14ac:dyDescent="0.25">
      <c r="A138" s="57" t="s">
        <v>585</v>
      </c>
      <c r="B138" s="53"/>
      <c r="C138" s="58">
        <v>360</v>
      </c>
      <c r="D138" s="53"/>
      <c r="E138" s="1"/>
      <c r="F138" s="53"/>
      <c r="G138" s="59">
        <f t="shared" si="2"/>
        <v>0</v>
      </c>
      <c r="H138" s="53"/>
      <c r="I138" s="53"/>
      <c r="J138" s="29"/>
      <c r="K138" s="29"/>
    </row>
    <row r="139" spans="1:11" ht="18.75" customHeight="1" x14ac:dyDescent="0.25">
      <c r="A139" s="57" t="s">
        <v>464</v>
      </c>
      <c r="B139" s="53"/>
      <c r="C139" s="58">
        <v>120</v>
      </c>
      <c r="D139" s="53"/>
      <c r="E139" s="1"/>
      <c r="F139" s="53"/>
      <c r="G139" s="59">
        <f t="shared" si="2"/>
        <v>0</v>
      </c>
      <c r="H139" s="53"/>
      <c r="I139" s="53"/>
      <c r="J139" s="29"/>
      <c r="K139" s="29"/>
    </row>
    <row r="140" spans="1:11" ht="18.75" customHeight="1" x14ac:dyDescent="0.25">
      <c r="A140" s="57" t="s">
        <v>586</v>
      </c>
      <c r="B140" s="53"/>
      <c r="C140" s="58">
        <v>90</v>
      </c>
      <c r="D140" s="53"/>
      <c r="E140" s="1"/>
      <c r="F140" s="53"/>
      <c r="G140" s="59">
        <f t="shared" si="2"/>
        <v>0</v>
      </c>
      <c r="H140" s="53"/>
      <c r="I140" s="53"/>
      <c r="J140" s="29"/>
      <c r="K140" s="29"/>
    </row>
    <row r="141" spans="1:11" ht="18.75" customHeight="1" x14ac:dyDescent="0.25">
      <c r="A141" s="57" t="s">
        <v>465</v>
      </c>
      <c r="B141" s="53"/>
      <c r="C141" s="58">
        <v>476</v>
      </c>
      <c r="D141" s="53"/>
      <c r="E141" s="1"/>
      <c r="F141" s="53"/>
      <c r="G141" s="59">
        <f t="shared" si="2"/>
        <v>0</v>
      </c>
      <c r="H141" s="53"/>
      <c r="I141" s="53"/>
      <c r="J141" s="29"/>
      <c r="K141" s="29"/>
    </row>
    <row r="142" spans="1:11" ht="18.75" customHeight="1" x14ac:dyDescent="0.25">
      <c r="A142" s="57" t="s">
        <v>466</v>
      </c>
      <c r="B142" s="53"/>
      <c r="C142" s="58">
        <v>125</v>
      </c>
      <c r="D142" s="53"/>
      <c r="E142" s="2"/>
      <c r="F142" s="53"/>
      <c r="G142" s="59">
        <f t="shared" si="2"/>
        <v>0</v>
      </c>
      <c r="H142" s="53"/>
      <c r="I142" s="53"/>
      <c r="J142" s="29"/>
      <c r="K142" s="29"/>
    </row>
    <row r="143" spans="1:11" ht="18.75" customHeight="1" thickBot="1" x14ac:dyDescent="0.3">
      <c r="A143" s="57" t="s">
        <v>587</v>
      </c>
      <c r="B143" s="53"/>
      <c r="C143" s="58">
        <v>125</v>
      </c>
      <c r="D143" s="53"/>
      <c r="E143" s="10"/>
      <c r="F143" s="53"/>
      <c r="G143" s="59">
        <f t="shared" si="2"/>
        <v>0</v>
      </c>
      <c r="H143" s="53"/>
      <c r="I143" s="53"/>
      <c r="J143" s="29"/>
      <c r="K143" s="29"/>
    </row>
    <row r="144" spans="1:11" ht="18.75" customHeight="1" x14ac:dyDescent="0.25">
      <c r="A144" s="57"/>
      <c r="B144" s="53"/>
      <c r="C144" s="58"/>
      <c r="D144" s="53"/>
      <c r="E144" s="60"/>
      <c r="F144" s="53"/>
      <c r="G144" s="59"/>
      <c r="H144" s="53"/>
      <c r="I144" s="53"/>
      <c r="J144" s="29"/>
      <c r="K144" s="29"/>
    </row>
    <row r="145" spans="1:11" ht="15.75" x14ac:dyDescent="0.25">
      <c r="A145" s="109" t="s">
        <v>513</v>
      </c>
      <c r="B145" s="109"/>
      <c r="C145" s="109"/>
      <c r="D145" s="109"/>
      <c r="E145" s="109"/>
      <c r="F145" s="53"/>
      <c r="G145" s="61">
        <f>SUM(G11:G143)</f>
        <v>0</v>
      </c>
      <c r="H145" s="53" t="s">
        <v>693</v>
      </c>
      <c r="I145" s="53"/>
      <c r="J145" s="29"/>
      <c r="K145" s="29"/>
    </row>
    <row r="146" spans="1:11" ht="15.75" x14ac:dyDescent="0.25">
      <c r="A146" s="62" t="s">
        <v>689</v>
      </c>
      <c r="B146" s="62"/>
      <c r="C146" s="5"/>
      <c r="D146" s="62"/>
      <c r="E146" s="62" t="s">
        <v>690</v>
      </c>
      <c r="F146" s="53"/>
      <c r="G146" s="63">
        <f>C146*12</f>
        <v>0</v>
      </c>
      <c r="H146" s="53" t="s">
        <v>694</v>
      </c>
      <c r="I146" s="53"/>
      <c r="J146" s="29"/>
      <c r="K146" s="29"/>
    </row>
    <row r="147" spans="1:11" x14ac:dyDescent="0.25">
      <c r="A147" s="53"/>
      <c r="B147" s="53"/>
      <c r="C147" s="53"/>
      <c r="D147" s="53"/>
      <c r="E147" s="53"/>
      <c r="F147" s="53"/>
      <c r="G147" s="53"/>
      <c r="H147" s="53" t="s">
        <v>691</v>
      </c>
      <c r="I147" s="53"/>
      <c r="J147" s="29"/>
      <c r="K147" s="29"/>
    </row>
    <row r="148" spans="1:11" x14ac:dyDescent="0.25">
      <c r="A148" s="67" t="s">
        <v>696</v>
      </c>
      <c r="B148" s="53"/>
      <c r="C148" s="53"/>
      <c r="D148" s="53"/>
      <c r="E148" s="53"/>
      <c r="F148" s="53"/>
      <c r="G148" s="64">
        <f>G145+G146</f>
        <v>0</v>
      </c>
      <c r="H148" s="53" t="s">
        <v>695</v>
      </c>
      <c r="I148" s="53"/>
      <c r="J148" s="29"/>
      <c r="K148" s="29"/>
    </row>
    <row r="149" spans="1:11" x14ac:dyDescent="0.25">
      <c r="A149" s="67"/>
      <c r="B149" s="53"/>
      <c r="C149" s="53"/>
      <c r="D149" s="53"/>
      <c r="E149" s="53"/>
      <c r="F149" s="53"/>
      <c r="G149" s="65"/>
      <c r="H149" s="53"/>
      <c r="I149" s="53"/>
      <c r="J149" s="29"/>
      <c r="K149" s="29"/>
    </row>
    <row r="150" spans="1:11" ht="15.75" thickBot="1" x14ac:dyDescent="0.3">
      <c r="A150" s="67" t="s">
        <v>697</v>
      </c>
      <c r="B150" s="53"/>
      <c r="C150" s="53"/>
      <c r="D150" s="53"/>
      <c r="E150" s="53"/>
      <c r="F150" s="53"/>
      <c r="G150" s="66">
        <f>G148*5</f>
        <v>0</v>
      </c>
      <c r="H150" s="53"/>
      <c r="I150" s="53"/>
      <c r="J150" s="29"/>
      <c r="K150" s="29"/>
    </row>
    <row r="151" spans="1:11" x14ac:dyDescent="0.25">
      <c r="A151" s="67"/>
      <c r="B151" s="53"/>
      <c r="C151" s="53"/>
      <c r="D151" s="53"/>
      <c r="E151" s="53"/>
      <c r="F151" s="53"/>
      <c r="G151" s="65" t="s">
        <v>692</v>
      </c>
      <c r="H151" s="53"/>
      <c r="I151" s="53"/>
      <c r="J151" s="29"/>
      <c r="K151" s="29"/>
    </row>
    <row r="152" spans="1:11" x14ac:dyDescent="0.25">
      <c r="A152" s="67"/>
      <c r="B152" s="53"/>
      <c r="C152" s="53"/>
      <c r="D152" s="53"/>
      <c r="E152" s="53"/>
      <c r="F152" s="53"/>
      <c r="G152" s="65" t="s">
        <v>707</v>
      </c>
      <c r="H152" s="53"/>
      <c r="I152" s="53"/>
      <c r="J152" s="29"/>
      <c r="K152" s="29"/>
    </row>
    <row r="153" spans="1:11" x14ac:dyDescent="0.25">
      <c r="A153" s="30"/>
      <c r="B153" s="29"/>
      <c r="C153" s="29"/>
      <c r="D153" s="29"/>
      <c r="E153" s="29"/>
      <c r="F153" s="29"/>
      <c r="G153" s="31"/>
      <c r="H153" s="29"/>
      <c r="I153" s="29"/>
      <c r="J153" s="29"/>
      <c r="K153" s="29"/>
    </row>
    <row r="154" spans="1:11" ht="15.75" x14ac:dyDescent="0.25">
      <c r="A154" s="32" t="s">
        <v>0</v>
      </c>
      <c r="B154" s="29"/>
      <c r="C154" s="29"/>
      <c r="D154" s="29"/>
      <c r="E154" s="29"/>
      <c r="F154" s="29"/>
      <c r="G154" s="29"/>
      <c r="H154" s="29"/>
      <c r="I154" s="29"/>
      <c r="J154" s="29"/>
      <c r="K154" s="29"/>
    </row>
    <row r="155" spans="1:11" x14ac:dyDescent="0.25">
      <c r="B155" s="29"/>
      <c r="C155" s="29"/>
      <c r="D155" s="29"/>
      <c r="E155" s="29"/>
      <c r="F155" s="29"/>
      <c r="G155" s="29"/>
      <c r="H155" s="29"/>
      <c r="I155" s="29"/>
      <c r="J155" s="29"/>
      <c r="K155" s="29"/>
    </row>
    <row r="156" spans="1:11" ht="15.75" x14ac:dyDescent="0.25">
      <c r="A156" s="33" t="s">
        <v>1</v>
      </c>
      <c r="B156" s="33"/>
      <c r="C156" s="34"/>
      <c r="D156" s="34"/>
      <c r="E156" s="34"/>
      <c r="F156" s="34"/>
      <c r="G156" s="34"/>
      <c r="H156" s="35" t="s">
        <v>2</v>
      </c>
      <c r="I156" s="36"/>
      <c r="J156" s="29"/>
      <c r="K156" s="29"/>
    </row>
    <row r="157" spans="1:11" ht="15.75" x14ac:dyDescent="0.25">
      <c r="A157" s="33" t="s">
        <v>3</v>
      </c>
      <c r="B157" s="33"/>
      <c r="C157" s="107"/>
      <c r="D157" s="108"/>
      <c r="E157" s="108"/>
      <c r="F157" s="108"/>
      <c r="G157" s="108"/>
      <c r="H157" s="108"/>
      <c r="I157" s="108"/>
      <c r="J157" s="29"/>
      <c r="K157" s="29"/>
    </row>
    <row r="158" spans="1:11" ht="15.75" x14ac:dyDescent="0.25">
      <c r="A158" s="33" t="s">
        <v>698</v>
      </c>
      <c r="B158" s="33"/>
      <c r="C158" s="105"/>
      <c r="D158" s="106"/>
      <c r="E158" s="106"/>
      <c r="F158" s="106"/>
      <c r="G158" s="106"/>
      <c r="H158" s="106"/>
      <c r="I158" s="106"/>
      <c r="J158" s="29"/>
      <c r="K158" s="29"/>
    </row>
    <row r="159" spans="1:11" ht="15.75" x14ac:dyDescent="0.25">
      <c r="A159" s="33" t="s">
        <v>699</v>
      </c>
      <c r="B159" s="33"/>
      <c r="C159" s="105"/>
      <c r="D159" s="106"/>
      <c r="E159" s="106"/>
      <c r="F159" s="106"/>
      <c r="G159" s="106"/>
      <c r="H159" s="106"/>
      <c r="I159" s="106"/>
      <c r="J159" s="29"/>
      <c r="K159" s="29"/>
    </row>
    <row r="160" spans="1:11" ht="15.75" x14ac:dyDescent="0.25">
      <c r="A160" s="33" t="s">
        <v>700</v>
      </c>
      <c r="B160" s="33"/>
      <c r="C160" s="105"/>
      <c r="D160" s="106"/>
      <c r="E160" s="106"/>
      <c r="F160" s="106"/>
      <c r="G160" s="106"/>
      <c r="H160" s="106"/>
      <c r="I160" s="106"/>
      <c r="J160" s="29"/>
      <c r="K160" s="29"/>
    </row>
    <row r="161" spans="1:11" ht="15.75" x14ac:dyDescent="0.25">
      <c r="A161" s="33" t="s">
        <v>701</v>
      </c>
      <c r="B161" s="33"/>
      <c r="C161" s="105"/>
      <c r="D161" s="106"/>
      <c r="E161" s="106"/>
      <c r="F161" s="106"/>
      <c r="G161" s="106"/>
      <c r="H161" s="106"/>
      <c r="I161" s="106"/>
      <c r="J161" s="29"/>
      <c r="K161" s="29"/>
    </row>
    <row r="162" spans="1:11" ht="31.5" x14ac:dyDescent="0.25">
      <c r="A162" s="37" t="s">
        <v>702</v>
      </c>
      <c r="B162" s="33"/>
      <c r="C162" s="107"/>
      <c r="D162" s="108"/>
      <c r="E162" s="108"/>
      <c r="F162" s="108"/>
      <c r="G162" s="108"/>
      <c r="H162" s="108"/>
      <c r="I162" s="108"/>
      <c r="J162" s="29"/>
      <c r="K162" s="29"/>
    </row>
    <row r="163" spans="1:11" ht="15.75" x14ac:dyDescent="0.25">
      <c r="A163" s="33" t="s">
        <v>4</v>
      </c>
      <c r="B163" s="33"/>
      <c r="C163" s="105"/>
      <c r="D163" s="106"/>
      <c r="E163" s="106"/>
      <c r="F163" s="106"/>
      <c r="G163" s="106"/>
      <c r="H163" s="106"/>
      <c r="I163" s="106"/>
      <c r="J163" s="29"/>
      <c r="K163" s="29"/>
    </row>
    <row r="164" spans="1:11" ht="15.75" x14ac:dyDescent="0.25">
      <c r="A164" s="33" t="s">
        <v>117</v>
      </c>
      <c r="B164" s="33"/>
      <c r="C164" s="105"/>
      <c r="D164" s="106"/>
      <c r="E164" s="106"/>
      <c r="F164" s="106"/>
      <c r="G164" s="106"/>
      <c r="H164" s="106"/>
      <c r="I164" s="106"/>
      <c r="J164" s="29"/>
      <c r="K164" s="29"/>
    </row>
    <row r="165" spans="1:11" x14ac:dyDescent="0.25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</row>
    <row r="166" spans="1:11" x14ac:dyDescent="0.25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</row>
    <row r="167" spans="1:11" x14ac:dyDescent="0.25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</row>
    <row r="168" spans="1:11" x14ac:dyDescent="0.25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</row>
    <row r="169" spans="1:11" x14ac:dyDescent="0.25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</row>
    <row r="170" spans="1:11" x14ac:dyDescent="0.25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</row>
    <row r="171" spans="1:11" x14ac:dyDescent="0.25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</row>
    <row r="172" spans="1:11" x14ac:dyDescent="0.25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</row>
    <row r="173" spans="1:11" x14ac:dyDescent="0.25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</row>
    <row r="174" spans="1:11" x14ac:dyDescent="0.25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</row>
    <row r="175" spans="1:11" x14ac:dyDescent="0.25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</row>
    <row r="176" spans="1:11" x14ac:dyDescent="0.25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</row>
    <row r="177" spans="1:11" x14ac:dyDescent="0.25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</row>
    <row r="178" spans="1:11" x14ac:dyDescent="0.25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</row>
    <row r="179" spans="1:11" x14ac:dyDescent="0.25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</row>
    <row r="180" spans="1:11" x14ac:dyDescent="0.25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</row>
    <row r="181" spans="1:11" x14ac:dyDescent="0.25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</row>
    <row r="182" spans="1:11" x14ac:dyDescent="0.25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</row>
    <row r="183" spans="1:11" x14ac:dyDescent="0.25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</row>
    <row r="184" spans="1:11" x14ac:dyDescent="0.25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</row>
    <row r="185" spans="1:11" x14ac:dyDescent="0.25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</row>
    <row r="186" spans="1:11" x14ac:dyDescent="0.25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</row>
    <row r="187" spans="1:11" x14ac:dyDescent="0.25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</row>
    <row r="188" spans="1:11" x14ac:dyDescent="0.25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</row>
    <row r="189" spans="1:11" x14ac:dyDescent="0.25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</row>
    <row r="190" spans="1:11" x14ac:dyDescent="0.25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</row>
    <row r="191" spans="1:11" x14ac:dyDescent="0.25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</row>
    <row r="192" spans="1:11" x14ac:dyDescent="0.25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</row>
    <row r="193" spans="1:11" x14ac:dyDescent="0.25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</row>
    <row r="194" spans="1:11" x14ac:dyDescent="0.25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</row>
    <row r="195" spans="1:11" x14ac:dyDescent="0.25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</row>
    <row r="196" spans="1:11" x14ac:dyDescent="0.25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</row>
    <row r="197" spans="1:11" x14ac:dyDescent="0.25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</row>
    <row r="198" spans="1:11" x14ac:dyDescent="0.25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</row>
    <row r="199" spans="1:11" x14ac:dyDescent="0.25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</row>
    <row r="200" spans="1:11" x14ac:dyDescent="0.25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</row>
    <row r="201" spans="1:11" x14ac:dyDescent="0.25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</row>
    <row r="202" spans="1:11" x14ac:dyDescent="0.25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</row>
    <row r="203" spans="1:11" x14ac:dyDescent="0.25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</row>
    <row r="204" spans="1:11" x14ac:dyDescent="0.25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</row>
    <row r="205" spans="1:11" x14ac:dyDescent="0.2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</row>
    <row r="206" spans="1:11" x14ac:dyDescent="0.25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</row>
    <row r="207" spans="1:11" x14ac:dyDescent="0.25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</row>
    <row r="208" spans="1:11" x14ac:dyDescent="0.25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</row>
    <row r="209" spans="1:11" x14ac:dyDescent="0.25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</row>
    <row r="210" spans="1:11" x14ac:dyDescent="0.25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</row>
    <row r="211" spans="1:11" x14ac:dyDescent="0.25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</row>
    <row r="212" spans="1:11" x14ac:dyDescent="0.25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</row>
    <row r="213" spans="1:11" x14ac:dyDescent="0.25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</row>
    <row r="214" spans="1:11" x14ac:dyDescent="0.2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</row>
    <row r="215" spans="1:11" x14ac:dyDescent="0.25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</row>
    <row r="216" spans="1:11" x14ac:dyDescent="0.25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</row>
    <row r="217" spans="1:11" x14ac:dyDescent="0.25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</row>
    <row r="218" spans="1:11" x14ac:dyDescent="0.25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</row>
    <row r="219" spans="1:11" x14ac:dyDescent="0.25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</row>
    <row r="220" spans="1:11" x14ac:dyDescent="0.25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</row>
    <row r="221" spans="1:11" x14ac:dyDescent="0.25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</row>
    <row r="222" spans="1:11" x14ac:dyDescent="0.25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</row>
    <row r="223" spans="1:11" x14ac:dyDescent="0.25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</row>
    <row r="224" spans="1:11" x14ac:dyDescent="0.25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</row>
    <row r="225" spans="1:11" x14ac:dyDescent="0.25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</row>
    <row r="226" spans="1:11" x14ac:dyDescent="0.25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</row>
    <row r="227" spans="1:11" x14ac:dyDescent="0.25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</row>
    <row r="228" spans="1:11" x14ac:dyDescent="0.25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</row>
    <row r="229" spans="1:11" x14ac:dyDescent="0.25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</row>
    <row r="230" spans="1:11" x14ac:dyDescent="0.25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</row>
    <row r="231" spans="1:11" x14ac:dyDescent="0.25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</row>
    <row r="232" spans="1:11" x14ac:dyDescent="0.25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</row>
    <row r="233" spans="1:11" x14ac:dyDescent="0.25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</row>
    <row r="234" spans="1:11" x14ac:dyDescent="0.25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</row>
    <row r="235" spans="1:11" x14ac:dyDescent="0.25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</row>
    <row r="236" spans="1:11" x14ac:dyDescent="0.25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</row>
    <row r="237" spans="1:11" x14ac:dyDescent="0.25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</row>
    <row r="238" spans="1:11" x14ac:dyDescent="0.25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</row>
    <row r="239" spans="1:11" x14ac:dyDescent="0.25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</row>
    <row r="240" spans="1:11" x14ac:dyDescent="0.25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</row>
    <row r="241" spans="1:11" x14ac:dyDescent="0.25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</row>
    <row r="242" spans="1:11" x14ac:dyDescent="0.25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</row>
    <row r="243" spans="1:11" x14ac:dyDescent="0.25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</row>
    <row r="244" spans="1:11" x14ac:dyDescent="0.25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</row>
    <row r="245" spans="1:11" x14ac:dyDescent="0.25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</row>
    <row r="246" spans="1:11" x14ac:dyDescent="0.25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</row>
    <row r="247" spans="1:11" x14ac:dyDescent="0.25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</row>
    <row r="248" spans="1:11" x14ac:dyDescent="0.25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</row>
    <row r="249" spans="1:11" x14ac:dyDescent="0.25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</row>
    <row r="250" spans="1:11" x14ac:dyDescent="0.25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</row>
    <row r="251" spans="1:11" x14ac:dyDescent="0.25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</row>
    <row r="252" spans="1:11" x14ac:dyDescent="0.25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</row>
    <row r="253" spans="1:11" x14ac:dyDescent="0.25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</row>
  </sheetData>
  <sheetProtection algorithmName="SHA-512" hashValue="lmkDQO3+dnrm2dLXVGDT8LwKJU0UorSPun8Fn05zVZFwT40X3lVSl7AKb5x1xJm5KQc7jQtPIwm31BqpXDD4gg==" saltValue="xm2oRfpVHBXldsu1TeQDyw==" spinCount="100000" sheet="1" objects="1" scenarios="1"/>
  <mergeCells count="10">
    <mergeCell ref="A1:I1"/>
    <mergeCell ref="C161:I161"/>
    <mergeCell ref="C162:I162"/>
    <mergeCell ref="C163:I163"/>
    <mergeCell ref="C164:I164"/>
    <mergeCell ref="A145:E145"/>
    <mergeCell ref="C157:I157"/>
    <mergeCell ref="C158:I158"/>
    <mergeCell ref="C159:I159"/>
    <mergeCell ref="C160:I160"/>
  </mergeCells>
  <pageMargins left="0.5" right="0.5" top="0.75" bottom="0.75" header="0.3" footer="0.3"/>
  <pageSetup scale="68" fitToHeight="0" orientation="portrait" r:id="rId1"/>
  <headerFooter>
    <oddFooter>&amp;C&amp;P of &amp;N</oddFooter>
  </headerFooter>
  <rowBreaks count="3" manualBreakCount="3">
    <brk id="47" max="16383" man="1"/>
    <brk id="94" max="16383" man="1"/>
    <brk id="13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341"/>
  <sheetViews>
    <sheetView tabSelected="1" topLeftCell="A16" zoomScaleNormal="100" workbookViewId="0">
      <selection activeCell="C11" sqref="C11"/>
    </sheetView>
  </sheetViews>
  <sheetFormatPr defaultRowHeight="15" x14ac:dyDescent="0.25"/>
  <cols>
    <col min="1" max="1" width="43" style="26" customWidth="1"/>
    <col min="2" max="2" width="3" style="26" customWidth="1"/>
    <col min="3" max="3" width="15.7109375" style="26" customWidth="1"/>
    <col min="4" max="4" width="3.5703125" style="26" customWidth="1"/>
    <col min="5" max="5" width="19.42578125" style="26" customWidth="1"/>
    <col min="6" max="6" width="3.28515625" style="26" customWidth="1"/>
    <col min="7" max="7" width="16.7109375" style="26" customWidth="1"/>
    <col min="8" max="9" width="9.140625" style="26"/>
    <col min="10" max="10" width="8.28515625" style="26" customWidth="1"/>
    <col min="11" max="16384" width="9.140625" style="26"/>
  </cols>
  <sheetData>
    <row r="1" spans="1:13" ht="24.95" customHeight="1" x14ac:dyDescent="0.3">
      <c r="A1" s="112" t="s">
        <v>10</v>
      </c>
      <c r="B1" s="112"/>
      <c r="C1" s="112"/>
      <c r="D1" s="112"/>
      <c r="E1" s="112"/>
      <c r="F1" s="112"/>
      <c r="G1" s="112"/>
      <c r="H1" s="112"/>
      <c r="I1" s="112"/>
      <c r="J1" s="112"/>
      <c r="K1" s="25"/>
      <c r="L1" s="25"/>
      <c r="M1" s="25"/>
    </row>
    <row r="2" spans="1:13" s="27" customFormat="1" ht="24.95" customHeight="1" x14ac:dyDescent="0.35">
      <c r="A2" s="43"/>
      <c r="B2" s="43"/>
      <c r="C2" s="44" t="s">
        <v>11</v>
      </c>
      <c r="D2" s="45"/>
      <c r="E2" s="43"/>
      <c r="F2" s="43"/>
      <c r="G2" s="43"/>
      <c r="H2" s="43"/>
      <c r="I2" s="43"/>
      <c r="J2" s="43"/>
      <c r="K2" s="25"/>
      <c r="L2" s="25"/>
      <c r="M2" s="25"/>
    </row>
    <row r="3" spans="1:13" s="27" customFormat="1" ht="24.95" customHeight="1" x14ac:dyDescent="0.35">
      <c r="A3" s="46" t="s">
        <v>751</v>
      </c>
      <c r="B3" s="47"/>
      <c r="C3" s="44" t="s">
        <v>491</v>
      </c>
      <c r="D3" s="48"/>
      <c r="E3" s="47"/>
      <c r="F3" s="47"/>
      <c r="G3" s="43"/>
      <c r="H3" s="43"/>
      <c r="I3" s="43"/>
      <c r="J3" s="43"/>
      <c r="K3" s="25"/>
      <c r="L3" s="25"/>
      <c r="M3" s="25"/>
    </row>
    <row r="4" spans="1:13" ht="22.5" customHeight="1" x14ac:dyDescent="0.35">
      <c r="A4" s="43"/>
      <c r="B4" s="46"/>
      <c r="C4" s="49"/>
      <c r="D4" s="50"/>
      <c r="E4" s="51"/>
      <c r="F4" s="51"/>
      <c r="G4" s="43"/>
      <c r="H4" s="43"/>
      <c r="I4" s="43"/>
      <c r="J4" s="43"/>
      <c r="K4" s="25"/>
      <c r="L4" s="25"/>
      <c r="M4" s="25"/>
    </row>
    <row r="5" spans="1:13" ht="18.75" x14ac:dyDescent="0.3">
      <c r="A5" s="52" t="s">
        <v>5</v>
      </c>
      <c r="B5" s="53"/>
      <c r="C5" s="53"/>
      <c r="D5" s="53"/>
      <c r="E5" s="53"/>
      <c r="F5" s="53"/>
      <c r="G5" s="53"/>
      <c r="H5" s="53"/>
      <c r="I5" s="53"/>
      <c r="J5" s="53"/>
      <c r="K5" s="29"/>
      <c r="L5" s="29"/>
    </row>
    <row r="6" spans="1:13" ht="18.75" x14ac:dyDescent="0.3">
      <c r="A6" s="52" t="s">
        <v>6</v>
      </c>
      <c r="B6" s="52"/>
      <c r="C6" s="52"/>
      <c r="D6" s="52"/>
      <c r="E6" s="52"/>
      <c r="F6" s="52"/>
      <c r="G6" s="52"/>
      <c r="H6" s="52"/>
      <c r="I6" s="52"/>
      <c r="J6" s="52"/>
      <c r="K6" s="28"/>
      <c r="L6" s="29"/>
    </row>
    <row r="7" spans="1:13" ht="18.75" x14ac:dyDescent="0.3">
      <c r="A7" s="52" t="s">
        <v>7</v>
      </c>
      <c r="B7" s="52"/>
      <c r="C7" s="52"/>
      <c r="D7" s="52"/>
      <c r="E7" s="52"/>
      <c r="F7" s="52"/>
      <c r="G7" s="52"/>
      <c r="H7" s="52"/>
      <c r="I7" s="52"/>
      <c r="J7" s="52"/>
      <c r="K7" s="28"/>
      <c r="L7" s="29"/>
    </row>
    <row r="8" spans="1:13" ht="18.75" x14ac:dyDescent="0.3">
      <c r="A8" s="52" t="s">
        <v>8</v>
      </c>
      <c r="B8" s="52"/>
      <c r="C8" s="52"/>
      <c r="D8" s="52"/>
      <c r="E8" s="52"/>
      <c r="F8" s="52"/>
      <c r="G8" s="52"/>
      <c r="H8" s="52"/>
      <c r="I8" s="52"/>
      <c r="J8" s="52"/>
      <c r="K8" s="28"/>
      <c r="L8" s="29"/>
    </row>
    <row r="9" spans="1:13" ht="18.75" x14ac:dyDescent="0.3">
      <c r="A9" s="52"/>
      <c r="B9" s="52"/>
      <c r="C9" s="52"/>
      <c r="D9" s="52"/>
      <c r="E9" s="52"/>
      <c r="F9" s="52"/>
      <c r="G9" s="52"/>
      <c r="H9" s="52"/>
      <c r="I9" s="52"/>
      <c r="J9" s="52"/>
      <c r="K9" s="28"/>
      <c r="L9" s="29"/>
    </row>
    <row r="10" spans="1:13" ht="48" x14ac:dyDescent="0.3">
      <c r="A10" s="54" t="s">
        <v>12</v>
      </c>
      <c r="B10" s="52"/>
      <c r="C10" s="55" t="s">
        <v>687</v>
      </c>
      <c r="D10" s="52"/>
      <c r="E10" s="56" t="s">
        <v>688</v>
      </c>
      <c r="F10" s="52"/>
      <c r="G10" s="56" t="s">
        <v>115</v>
      </c>
      <c r="H10" s="52"/>
      <c r="I10" s="52"/>
      <c r="J10" s="52"/>
      <c r="K10" s="28"/>
      <c r="L10" s="29"/>
    </row>
    <row r="11" spans="1:13" ht="18.75" x14ac:dyDescent="0.3">
      <c r="A11" s="100" t="s">
        <v>588</v>
      </c>
      <c r="B11" s="52"/>
      <c r="C11" s="104">
        <v>58179</v>
      </c>
      <c r="D11" s="52"/>
      <c r="E11" s="11"/>
      <c r="F11" s="52"/>
      <c r="G11" s="59">
        <f>C11*E11</f>
        <v>0</v>
      </c>
      <c r="H11" s="52"/>
      <c r="I11" s="52"/>
      <c r="J11" s="52"/>
      <c r="K11" s="28"/>
      <c r="L11" s="29"/>
    </row>
    <row r="12" spans="1:13" ht="18.75" customHeight="1" x14ac:dyDescent="0.3">
      <c r="A12" s="57" t="s">
        <v>14</v>
      </c>
      <c r="B12" s="52"/>
      <c r="C12" s="58">
        <v>6990</v>
      </c>
      <c r="D12" s="52"/>
      <c r="E12" s="9"/>
      <c r="F12" s="52"/>
      <c r="G12" s="59">
        <f>C12*E12</f>
        <v>0</v>
      </c>
      <c r="H12" s="52"/>
      <c r="I12" s="52"/>
      <c r="J12" s="52"/>
      <c r="K12" s="28"/>
      <c r="L12" s="29"/>
    </row>
    <row r="13" spans="1:13" ht="18.75" customHeight="1" x14ac:dyDescent="0.3">
      <c r="A13" s="57" t="s">
        <v>15</v>
      </c>
      <c r="B13" s="52"/>
      <c r="C13" s="58">
        <v>908</v>
      </c>
      <c r="D13" s="52"/>
      <c r="E13" s="9"/>
      <c r="F13" s="52"/>
      <c r="G13" s="59">
        <f t="shared" ref="G13:G145" si="0">C13*E13</f>
        <v>0</v>
      </c>
      <c r="H13" s="52"/>
      <c r="I13" s="52"/>
      <c r="J13" s="52"/>
      <c r="K13" s="28"/>
      <c r="L13" s="29"/>
    </row>
    <row r="14" spans="1:13" ht="18.75" customHeight="1" x14ac:dyDescent="0.3">
      <c r="A14" s="57" t="s">
        <v>589</v>
      </c>
      <c r="B14" s="52"/>
      <c r="C14" s="58">
        <v>849</v>
      </c>
      <c r="D14" s="52"/>
      <c r="E14" s="9"/>
      <c r="F14" s="52"/>
      <c r="G14" s="59">
        <f t="shared" si="0"/>
        <v>0</v>
      </c>
      <c r="H14" s="52"/>
      <c r="I14" s="52"/>
      <c r="J14" s="52"/>
      <c r="K14" s="28"/>
      <c r="L14" s="29"/>
    </row>
    <row r="15" spans="1:13" ht="18.75" customHeight="1" x14ac:dyDescent="0.3">
      <c r="A15" s="57" t="s">
        <v>492</v>
      </c>
      <c r="B15" s="52"/>
      <c r="C15" s="58">
        <v>1288</v>
      </c>
      <c r="D15" s="52"/>
      <c r="E15" s="9"/>
      <c r="F15" s="52"/>
      <c r="G15" s="59">
        <f t="shared" si="0"/>
        <v>0</v>
      </c>
      <c r="H15" s="52"/>
      <c r="I15" s="52"/>
      <c r="J15" s="52"/>
      <c r="K15" s="28"/>
      <c r="L15" s="29"/>
    </row>
    <row r="16" spans="1:13" ht="18.75" customHeight="1" x14ac:dyDescent="0.3">
      <c r="A16" s="57" t="s">
        <v>119</v>
      </c>
      <c r="B16" s="52"/>
      <c r="C16" s="58">
        <v>678</v>
      </c>
      <c r="D16" s="52"/>
      <c r="E16" s="9"/>
      <c r="F16" s="52"/>
      <c r="G16" s="59">
        <f t="shared" si="0"/>
        <v>0</v>
      </c>
      <c r="H16" s="52"/>
      <c r="I16" s="52"/>
      <c r="J16" s="52"/>
      <c r="K16" s="28"/>
      <c r="L16" s="29"/>
    </row>
    <row r="17" spans="1:12" ht="18.75" customHeight="1" x14ac:dyDescent="0.3">
      <c r="A17" s="57" t="s">
        <v>590</v>
      </c>
      <c r="B17" s="52"/>
      <c r="C17" s="58">
        <v>7568</v>
      </c>
      <c r="D17" s="52"/>
      <c r="E17" s="9"/>
      <c r="F17" s="52"/>
      <c r="G17" s="59">
        <f t="shared" si="0"/>
        <v>0</v>
      </c>
      <c r="H17" s="52"/>
      <c r="I17" s="52"/>
      <c r="J17" s="52"/>
      <c r="K17" s="28"/>
      <c r="L17" s="29"/>
    </row>
    <row r="18" spans="1:12" ht="18.75" customHeight="1" x14ac:dyDescent="0.3">
      <c r="A18" s="57" t="s">
        <v>19</v>
      </c>
      <c r="B18" s="52"/>
      <c r="C18" s="58">
        <v>1085</v>
      </c>
      <c r="D18" s="52"/>
      <c r="E18" s="9"/>
      <c r="F18" s="52"/>
      <c r="G18" s="59">
        <f t="shared" si="0"/>
        <v>0</v>
      </c>
      <c r="H18" s="52"/>
      <c r="I18" s="52"/>
      <c r="J18" s="52"/>
      <c r="K18" s="28"/>
      <c r="L18" s="29"/>
    </row>
    <row r="19" spans="1:12" ht="18.75" customHeight="1" x14ac:dyDescent="0.3">
      <c r="A19" s="57" t="s">
        <v>591</v>
      </c>
      <c r="B19" s="52"/>
      <c r="C19" s="58">
        <v>572</v>
      </c>
      <c r="D19" s="52"/>
      <c r="E19" s="9"/>
      <c r="F19" s="52"/>
      <c r="G19" s="59">
        <f t="shared" si="0"/>
        <v>0</v>
      </c>
      <c r="H19" s="52"/>
      <c r="I19" s="52"/>
      <c r="J19" s="52"/>
      <c r="K19" s="28"/>
      <c r="L19" s="29"/>
    </row>
    <row r="20" spans="1:12" ht="18.75" customHeight="1" x14ac:dyDescent="0.3">
      <c r="A20" s="57" t="s">
        <v>592</v>
      </c>
      <c r="B20" s="52"/>
      <c r="C20" s="58">
        <v>559</v>
      </c>
      <c r="D20" s="52"/>
      <c r="E20" s="9"/>
      <c r="F20" s="52"/>
      <c r="G20" s="59">
        <f t="shared" si="0"/>
        <v>0</v>
      </c>
      <c r="H20" s="52"/>
      <c r="I20" s="52"/>
      <c r="J20" s="52"/>
      <c r="K20" s="28"/>
      <c r="L20" s="29"/>
    </row>
    <row r="21" spans="1:12" ht="18.75" customHeight="1" x14ac:dyDescent="0.3">
      <c r="A21" s="57" t="s">
        <v>593</v>
      </c>
      <c r="B21" s="52"/>
      <c r="C21" s="58">
        <v>1395</v>
      </c>
      <c r="D21" s="52"/>
      <c r="E21" s="9"/>
      <c r="F21" s="52"/>
      <c r="G21" s="59">
        <f t="shared" si="0"/>
        <v>0</v>
      </c>
      <c r="H21" s="52"/>
      <c r="I21" s="52"/>
      <c r="J21" s="52"/>
      <c r="K21" s="28"/>
      <c r="L21" s="29"/>
    </row>
    <row r="22" spans="1:12" ht="18.75" customHeight="1" x14ac:dyDescent="0.3">
      <c r="A22" s="57" t="s">
        <v>21</v>
      </c>
      <c r="B22" s="52"/>
      <c r="C22" s="58">
        <v>2375</v>
      </c>
      <c r="D22" s="52"/>
      <c r="E22" s="9"/>
      <c r="F22" s="52"/>
      <c r="G22" s="59">
        <f t="shared" si="0"/>
        <v>0</v>
      </c>
      <c r="H22" s="52"/>
      <c r="I22" s="52"/>
      <c r="J22" s="52"/>
      <c r="K22" s="28"/>
      <c r="L22" s="29"/>
    </row>
    <row r="23" spans="1:12" ht="18.75" customHeight="1" x14ac:dyDescent="0.3">
      <c r="A23" s="57" t="s">
        <v>594</v>
      </c>
      <c r="B23" s="52"/>
      <c r="C23" s="58">
        <v>624</v>
      </c>
      <c r="D23" s="52"/>
      <c r="E23" s="9"/>
      <c r="F23" s="52"/>
      <c r="G23" s="59">
        <f t="shared" si="0"/>
        <v>0</v>
      </c>
      <c r="H23" s="52"/>
      <c r="I23" s="52"/>
      <c r="J23" s="52"/>
      <c r="K23" s="28"/>
      <c r="L23" s="29"/>
    </row>
    <row r="24" spans="1:12" ht="18.75" customHeight="1" x14ac:dyDescent="0.3">
      <c r="A24" s="57" t="s">
        <v>23</v>
      </c>
      <c r="B24" s="52"/>
      <c r="C24" s="58">
        <v>2076</v>
      </c>
      <c r="D24" s="52"/>
      <c r="E24" s="9"/>
      <c r="F24" s="52"/>
      <c r="G24" s="59">
        <f t="shared" si="0"/>
        <v>0</v>
      </c>
      <c r="H24" s="52"/>
      <c r="I24" s="52"/>
      <c r="J24" s="52"/>
      <c r="K24" s="28"/>
      <c r="L24" s="29"/>
    </row>
    <row r="25" spans="1:12" ht="18.75" customHeight="1" x14ac:dyDescent="0.3">
      <c r="A25" s="57" t="s">
        <v>493</v>
      </c>
      <c r="B25" s="52"/>
      <c r="C25" s="58">
        <v>794</v>
      </c>
      <c r="D25" s="52"/>
      <c r="E25" s="9"/>
      <c r="F25" s="52"/>
      <c r="G25" s="59">
        <f t="shared" si="0"/>
        <v>0</v>
      </c>
      <c r="H25" s="52"/>
      <c r="I25" s="52"/>
      <c r="J25" s="52"/>
      <c r="K25" s="28"/>
      <c r="L25" s="29"/>
    </row>
    <row r="26" spans="1:12" ht="18.75" customHeight="1" x14ac:dyDescent="0.3">
      <c r="A26" s="57" t="s">
        <v>25</v>
      </c>
      <c r="B26" s="52"/>
      <c r="C26" s="58">
        <v>1011</v>
      </c>
      <c r="D26" s="52"/>
      <c r="E26" s="9"/>
      <c r="F26" s="52"/>
      <c r="G26" s="59">
        <f t="shared" si="0"/>
        <v>0</v>
      </c>
      <c r="H26" s="52"/>
      <c r="I26" s="52"/>
      <c r="J26" s="52"/>
      <c r="K26" s="28"/>
      <c r="L26" s="29"/>
    </row>
    <row r="27" spans="1:12" ht="18.75" customHeight="1" x14ac:dyDescent="0.3">
      <c r="A27" s="57" t="s">
        <v>27</v>
      </c>
      <c r="B27" s="52"/>
      <c r="C27" s="58">
        <v>2098</v>
      </c>
      <c r="D27" s="52"/>
      <c r="E27" s="9"/>
      <c r="F27" s="52"/>
      <c r="G27" s="59">
        <f t="shared" si="0"/>
        <v>0</v>
      </c>
      <c r="H27" s="52"/>
      <c r="I27" s="52"/>
      <c r="J27" s="52"/>
      <c r="K27" s="28"/>
      <c r="L27" s="29"/>
    </row>
    <row r="28" spans="1:12" ht="18.75" customHeight="1" x14ac:dyDescent="0.3">
      <c r="A28" s="57" t="s">
        <v>494</v>
      </c>
      <c r="B28" s="52"/>
      <c r="C28" s="58">
        <v>484</v>
      </c>
      <c r="D28" s="52"/>
      <c r="E28" s="9"/>
      <c r="F28" s="52"/>
      <c r="G28" s="59">
        <f t="shared" si="0"/>
        <v>0</v>
      </c>
      <c r="H28" s="52"/>
      <c r="I28" s="52"/>
      <c r="J28" s="52"/>
      <c r="K28" s="28"/>
      <c r="L28" s="29"/>
    </row>
    <row r="29" spans="1:12" ht="18.75" customHeight="1" x14ac:dyDescent="0.3">
      <c r="A29" s="57" t="s">
        <v>595</v>
      </c>
      <c r="B29" s="52"/>
      <c r="C29" s="58">
        <v>706</v>
      </c>
      <c r="D29" s="52"/>
      <c r="E29" s="9"/>
      <c r="F29" s="52"/>
      <c r="G29" s="59">
        <f t="shared" si="0"/>
        <v>0</v>
      </c>
      <c r="H29" s="52"/>
      <c r="I29" s="52"/>
      <c r="J29" s="52"/>
      <c r="K29" s="28"/>
      <c r="L29" s="29"/>
    </row>
    <row r="30" spans="1:12" ht="18.75" customHeight="1" x14ac:dyDescent="0.3">
      <c r="A30" s="57" t="s">
        <v>596</v>
      </c>
      <c r="B30" s="52"/>
      <c r="C30" s="58">
        <v>710</v>
      </c>
      <c r="D30" s="52"/>
      <c r="E30" s="9"/>
      <c r="F30" s="52"/>
      <c r="G30" s="59">
        <f t="shared" si="0"/>
        <v>0</v>
      </c>
      <c r="H30" s="52"/>
      <c r="I30" s="52"/>
      <c r="J30" s="52"/>
      <c r="K30" s="28"/>
      <c r="L30" s="29"/>
    </row>
    <row r="31" spans="1:12" ht="18.75" customHeight="1" x14ac:dyDescent="0.3">
      <c r="A31" s="57" t="s">
        <v>28</v>
      </c>
      <c r="B31" s="52"/>
      <c r="C31" s="58">
        <v>8250</v>
      </c>
      <c r="D31" s="52"/>
      <c r="E31" s="9"/>
      <c r="F31" s="52"/>
      <c r="G31" s="59">
        <f t="shared" si="0"/>
        <v>0</v>
      </c>
      <c r="H31" s="52"/>
      <c r="I31" s="52"/>
      <c r="J31" s="52"/>
      <c r="K31" s="28"/>
      <c r="L31" s="29"/>
    </row>
    <row r="32" spans="1:12" ht="18.75" customHeight="1" x14ac:dyDescent="0.3">
      <c r="A32" s="57" t="s">
        <v>29</v>
      </c>
      <c r="B32" s="52"/>
      <c r="C32" s="58">
        <f>7709+3422</f>
        <v>11131</v>
      </c>
      <c r="D32" s="52"/>
      <c r="E32" s="9"/>
      <c r="F32" s="52"/>
      <c r="G32" s="59">
        <f t="shared" si="0"/>
        <v>0</v>
      </c>
      <c r="H32" s="52"/>
      <c r="I32" s="52"/>
      <c r="J32" s="52"/>
      <c r="K32" s="28"/>
      <c r="L32" s="29"/>
    </row>
    <row r="33" spans="1:12" ht="18.75" customHeight="1" x14ac:dyDescent="0.3">
      <c r="A33" s="57" t="s">
        <v>597</v>
      </c>
      <c r="B33" s="52"/>
      <c r="C33" s="58">
        <v>12922</v>
      </c>
      <c r="D33" s="52"/>
      <c r="E33" s="9"/>
      <c r="F33" s="52"/>
      <c r="G33" s="59">
        <f t="shared" ref="G33:G34" si="1">C33*E33</f>
        <v>0</v>
      </c>
      <c r="H33" s="52"/>
      <c r="I33" s="52"/>
      <c r="J33" s="52"/>
      <c r="K33" s="28"/>
      <c r="L33" s="29"/>
    </row>
    <row r="34" spans="1:12" ht="18.75" customHeight="1" x14ac:dyDescent="0.3">
      <c r="A34" s="57" t="s">
        <v>598</v>
      </c>
      <c r="B34" s="52"/>
      <c r="C34" s="58">
        <v>31098</v>
      </c>
      <c r="D34" s="52"/>
      <c r="E34" s="9"/>
      <c r="F34" s="52"/>
      <c r="G34" s="59">
        <f t="shared" si="1"/>
        <v>0</v>
      </c>
      <c r="H34" s="52"/>
      <c r="I34" s="52"/>
      <c r="J34" s="52"/>
      <c r="K34" s="28"/>
      <c r="L34" s="29"/>
    </row>
    <row r="35" spans="1:12" ht="18.75" customHeight="1" x14ac:dyDescent="0.3">
      <c r="A35" s="57" t="s">
        <v>121</v>
      </c>
      <c r="B35" s="52"/>
      <c r="C35" s="58">
        <v>795</v>
      </c>
      <c r="D35" s="52"/>
      <c r="E35" s="9"/>
      <c r="F35" s="52"/>
      <c r="G35" s="59">
        <f t="shared" si="0"/>
        <v>0</v>
      </c>
      <c r="H35" s="52"/>
      <c r="I35" s="52"/>
      <c r="J35" s="52"/>
      <c r="K35" s="28"/>
      <c r="L35" s="29"/>
    </row>
    <row r="36" spans="1:12" ht="18.75" customHeight="1" x14ac:dyDescent="0.3">
      <c r="A36" s="57" t="s">
        <v>599</v>
      </c>
      <c r="B36" s="52"/>
      <c r="C36" s="58">
        <v>2055</v>
      </c>
      <c r="D36" s="52"/>
      <c r="E36" s="9"/>
      <c r="F36" s="52"/>
      <c r="G36" s="59">
        <f t="shared" ref="G36" si="2">C36*E36</f>
        <v>0</v>
      </c>
      <c r="H36" s="52"/>
      <c r="I36" s="52"/>
      <c r="J36" s="52"/>
      <c r="K36" s="28"/>
      <c r="L36" s="29"/>
    </row>
    <row r="37" spans="1:12" ht="18.75" customHeight="1" x14ac:dyDescent="0.3">
      <c r="A37" s="57" t="s">
        <v>30</v>
      </c>
      <c r="B37" s="52"/>
      <c r="C37" s="58">
        <v>1175</v>
      </c>
      <c r="D37" s="52"/>
      <c r="E37" s="9"/>
      <c r="F37" s="52"/>
      <c r="G37" s="59">
        <f t="shared" si="0"/>
        <v>0</v>
      </c>
      <c r="H37" s="52"/>
      <c r="I37" s="52"/>
      <c r="J37" s="52"/>
      <c r="K37" s="28"/>
      <c r="L37" s="29"/>
    </row>
    <row r="38" spans="1:12" ht="18.75" customHeight="1" x14ac:dyDescent="0.3">
      <c r="A38" s="57" t="s">
        <v>123</v>
      </c>
      <c r="B38" s="52"/>
      <c r="C38" s="58">
        <v>708</v>
      </c>
      <c r="D38" s="52"/>
      <c r="E38" s="9"/>
      <c r="F38" s="52"/>
      <c r="G38" s="59">
        <f t="shared" ref="G38:G40" si="3">C38*E38</f>
        <v>0</v>
      </c>
      <c r="H38" s="52"/>
      <c r="I38" s="52"/>
      <c r="J38" s="52"/>
      <c r="K38" s="28"/>
      <c r="L38" s="29"/>
    </row>
    <row r="39" spans="1:12" ht="18.75" customHeight="1" x14ac:dyDescent="0.3">
      <c r="A39" s="57" t="s">
        <v>600</v>
      </c>
      <c r="B39" s="52"/>
      <c r="C39" s="58">
        <v>3060</v>
      </c>
      <c r="D39" s="52"/>
      <c r="E39" s="9"/>
      <c r="F39" s="52"/>
      <c r="G39" s="59">
        <f t="shared" si="3"/>
        <v>0</v>
      </c>
      <c r="H39" s="52"/>
      <c r="I39" s="52"/>
      <c r="J39" s="52"/>
      <c r="K39" s="28"/>
      <c r="L39" s="29"/>
    </row>
    <row r="40" spans="1:12" ht="18.75" customHeight="1" x14ac:dyDescent="0.3">
      <c r="A40" s="57" t="s">
        <v>601</v>
      </c>
      <c r="B40" s="52"/>
      <c r="C40" s="58">
        <v>540</v>
      </c>
      <c r="D40" s="52"/>
      <c r="E40" s="9"/>
      <c r="F40" s="52"/>
      <c r="G40" s="59">
        <f t="shared" si="3"/>
        <v>0</v>
      </c>
      <c r="H40" s="52"/>
      <c r="I40" s="52"/>
      <c r="J40" s="52"/>
      <c r="K40" s="28"/>
      <c r="L40" s="29"/>
    </row>
    <row r="41" spans="1:12" ht="18.75" customHeight="1" x14ac:dyDescent="0.3">
      <c r="A41" s="57" t="s">
        <v>495</v>
      </c>
      <c r="B41" s="52"/>
      <c r="C41" s="58">
        <v>1059</v>
      </c>
      <c r="D41" s="52"/>
      <c r="E41" s="9"/>
      <c r="F41" s="52"/>
      <c r="G41" s="59">
        <f t="shared" si="0"/>
        <v>0</v>
      </c>
      <c r="H41" s="52"/>
      <c r="I41" s="52"/>
      <c r="J41" s="52"/>
      <c r="K41" s="28"/>
      <c r="L41" s="29"/>
    </row>
    <row r="42" spans="1:12" ht="18.75" customHeight="1" x14ac:dyDescent="0.3">
      <c r="A42" s="57" t="s">
        <v>470</v>
      </c>
      <c r="B42" s="52"/>
      <c r="C42" s="58">
        <v>2310</v>
      </c>
      <c r="D42" s="52"/>
      <c r="E42" s="9"/>
      <c r="F42" s="52"/>
      <c r="G42" s="59">
        <f t="shared" ref="G42:G45" si="4">C42*E42</f>
        <v>0</v>
      </c>
      <c r="H42" s="52"/>
      <c r="I42" s="52"/>
      <c r="J42" s="52"/>
      <c r="K42" s="28"/>
      <c r="L42" s="29"/>
    </row>
    <row r="43" spans="1:12" ht="18.75" customHeight="1" x14ac:dyDescent="0.3">
      <c r="A43" s="57" t="s">
        <v>471</v>
      </c>
      <c r="B43" s="52"/>
      <c r="C43" s="58">
        <v>806</v>
      </c>
      <c r="D43" s="52"/>
      <c r="E43" s="9"/>
      <c r="F43" s="52"/>
      <c r="G43" s="59">
        <f t="shared" si="4"/>
        <v>0</v>
      </c>
      <c r="H43" s="52"/>
      <c r="I43" s="52"/>
      <c r="J43" s="52"/>
      <c r="K43" s="28"/>
      <c r="L43" s="29"/>
    </row>
    <row r="44" spans="1:12" ht="18.75" customHeight="1" x14ac:dyDescent="0.3">
      <c r="A44" s="57" t="s">
        <v>602</v>
      </c>
      <c r="B44" s="52"/>
      <c r="C44" s="58">
        <v>596</v>
      </c>
      <c r="D44" s="52"/>
      <c r="E44" s="9"/>
      <c r="F44" s="52"/>
      <c r="G44" s="59">
        <f t="shared" si="4"/>
        <v>0</v>
      </c>
      <c r="H44" s="52"/>
      <c r="I44" s="52"/>
      <c r="J44" s="52"/>
      <c r="K44" s="28"/>
      <c r="L44" s="29"/>
    </row>
    <row r="45" spans="1:12" ht="18.75" customHeight="1" x14ac:dyDescent="0.3">
      <c r="A45" s="57" t="s">
        <v>474</v>
      </c>
      <c r="B45" s="52"/>
      <c r="C45" s="58">
        <v>1147</v>
      </c>
      <c r="D45" s="52"/>
      <c r="E45" s="9"/>
      <c r="F45" s="52"/>
      <c r="G45" s="59">
        <f t="shared" si="4"/>
        <v>0</v>
      </c>
      <c r="H45" s="52"/>
      <c r="I45" s="52"/>
      <c r="J45" s="52"/>
      <c r="K45" s="28"/>
      <c r="L45" s="29"/>
    </row>
    <row r="46" spans="1:12" ht="18.75" customHeight="1" x14ac:dyDescent="0.3">
      <c r="A46" s="57" t="s">
        <v>32</v>
      </c>
      <c r="B46" s="52"/>
      <c r="C46" s="58">
        <v>948</v>
      </c>
      <c r="D46" s="52"/>
      <c r="E46" s="9"/>
      <c r="F46" s="52"/>
      <c r="G46" s="59">
        <f t="shared" si="0"/>
        <v>0</v>
      </c>
      <c r="H46" s="52"/>
      <c r="I46" s="52"/>
      <c r="J46" s="52"/>
      <c r="K46" s="28"/>
      <c r="L46" s="29"/>
    </row>
    <row r="47" spans="1:12" ht="18.75" customHeight="1" x14ac:dyDescent="0.3">
      <c r="A47" s="57" t="s">
        <v>603</v>
      </c>
      <c r="B47" s="52"/>
      <c r="C47" s="58">
        <v>650</v>
      </c>
      <c r="D47" s="52"/>
      <c r="E47" s="9"/>
      <c r="F47" s="52"/>
      <c r="G47" s="59">
        <f t="shared" ref="G47:G49" si="5">C47*E47</f>
        <v>0</v>
      </c>
      <c r="H47" s="52"/>
      <c r="I47" s="52"/>
      <c r="J47" s="52"/>
      <c r="K47" s="28"/>
      <c r="L47" s="29"/>
    </row>
    <row r="48" spans="1:12" ht="18.75" customHeight="1" x14ac:dyDescent="0.3">
      <c r="A48" s="57" t="s">
        <v>604</v>
      </c>
      <c r="B48" s="52"/>
      <c r="C48" s="58">
        <v>11500</v>
      </c>
      <c r="D48" s="52"/>
      <c r="E48" s="9"/>
      <c r="F48" s="52"/>
      <c r="G48" s="59">
        <f t="shared" si="5"/>
        <v>0</v>
      </c>
      <c r="H48" s="52"/>
      <c r="I48" s="52"/>
      <c r="J48" s="52"/>
      <c r="K48" s="28"/>
      <c r="L48" s="29"/>
    </row>
    <row r="49" spans="1:12" ht="18.75" customHeight="1" x14ac:dyDescent="0.3">
      <c r="A49" s="57" t="s">
        <v>605</v>
      </c>
      <c r="B49" s="52"/>
      <c r="C49" s="58">
        <v>840</v>
      </c>
      <c r="D49" s="52"/>
      <c r="E49" s="9"/>
      <c r="F49" s="52"/>
      <c r="G49" s="59">
        <f t="shared" si="5"/>
        <v>0</v>
      </c>
      <c r="H49" s="52"/>
      <c r="I49" s="52"/>
      <c r="J49" s="52"/>
      <c r="K49" s="28"/>
      <c r="L49" s="29"/>
    </row>
    <row r="50" spans="1:12" ht="18.75" customHeight="1" x14ac:dyDescent="0.3">
      <c r="A50" s="57" t="s">
        <v>34</v>
      </c>
      <c r="B50" s="52"/>
      <c r="C50" s="58">
        <v>792</v>
      </c>
      <c r="D50" s="52"/>
      <c r="E50" s="9"/>
      <c r="F50" s="52"/>
      <c r="G50" s="59">
        <f t="shared" si="0"/>
        <v>0</v>
      </c>
      <c r="H50" s="52"/>
      <c r="I50" s="52"/>
      <c r="J50" s="52"/>
      <c r="K50" s="28"/>
      <c r="L50" s="29"/>
    </row>
    <row r="51" spans="1:12" ht="18.75" customHeight="1" x14ac:dyDescent="0.3">
      <c r="A51" s="57" t="s">
        <v>35</v>
      </c>
      <c r="B51" s="52"/>
      <c r="C51" s="58">
        <v>1210</v>
      </c>
      <c r="D51" s="52"/>
      <c r="E51" s="9"/>
      <c r="F51" s="52"/>
      <c r="G51" s="59">
        <f t="shared" si="0"/>
        <v>0</v>
      </c>
      <c r="H51" s="52"/>
      <c r="I51" s="52"/>
      <c r="J51" s="52"/>
      <c r="K51" s="28"/>
      <c r="L51" s="29"/>
    </row>
    <row r="52" spans="1:12" ht="18.75" customHeight="1" x14ac:dyDescent="0.3">
      <c r="A52" s="57" t="s">
        <v>496</v>
      </c>
      <c r="B52" s="52"/>
      <c r="C52" s="58">
        <v>1244</v>
      </c>
      <c r="D52" s="52"/>
      <c r="E52" s="9"/>
      <c r="F52" s="52"/>
      <c r="G52" s="59">
        <f t="shared" si="0"/>
        <v>0</v>
      </c>
      <c r="H52" s="52"/>
      <c r="I52" s="52"/>
      <c r="J52" s="52"/>
      <c r="K52" s="28"/>
      <c r="L52" s="29"/>
    </row>
    <row r="53" spans="1:12" ht="18.75" customHeight="1" x14ac:dyDescent="0.3">
      <c r="A53" s="57" t="s">
        <v>606</v>
      </c>
      <c r="B53" s="52"/>
      <c r="C53" s="58">
        <v>2120</v>
      </c>
      <c r="D53" s="52"/>
      <c r="E53" s="9"/>
      <c r="F53" s="52"/>
      <c r="G53" s="59">
        <f t="shared" si="0"/>
        <v>0</v>
      </c>
      <c r="H53" s="52"/>
      <c r="I53" s="52"/>
      <c r="J53" s="52"/>
      <c r="K53" s="28"/>
      <c r="L53" s="29"/>
    </row>
    <row r="54" spans="1:12" ht="18.75" customHeight="1" x14ac:dyDescent="0.3">
      <c r="A54" s="57" t="s">
        <v>475</v>
      </c>
      <c r="B54" s="52"/>
      <c r="C54" s="58">
        <v>526</v>
      </c>
      <c r="D54" s="52"/>
      <c r="E54" s="9"/>
      <c r="F54" s="52"/>
      <c r="G54" s="59">
        <f t="shared" si="0"/>
        <v>0</v>
      </c>
      <c r="H54" s="52"/>
      <c r="I54" s="52"/>
      <c r="J54" s="52"/>
      <c r="K54" s="28"/>
      <c r="L54" s="29"/>
    </row>
    <row r="55" spans="1:12" ht="18.75" customHeight="1" x14ac:dyDescent="0.3">
      <c r="A55" s="57" t="s">
        <v>607</v>
      </c>
      <c r="B55" s="52"/>
      <c r="C55" s="58">
        <v>16555</v>
      </c>
      <c r="D55" s="52"/>
      <c r="E55" s="9"/>
      <c r="F55" s="52"/>
      <c r="G55" s="59">
        <f t="shared" si="0"/>
        <v>0</v>
      </c>
      <c r="H55" s="52"/>
      <c r="I55" s="52"/>
      <c r="J55" s="52"/>
      <c r="K55" s="28"/>
      <c r="L55" s="29"/>
    </row>
    <row r="56" spans="1:12" ht="18.75" customHeight="1" x14ac:dyDescent="0.3">
      <c r="A56" s="57" t="s">
        <v>608</v>
      </c>
      <c r="B56" s="52"/>
      <c r="C56" s="58">
        <v>600</v>
      </c>
      <c r="D56" s="52"/>
      <c r="E56" s="9"/>
      <c r="F56" s="52"/>
      <c r="G56" s="59">
        <f t="shared" si="0"/>
        <v>0</v>
      </c>
      <c r="H56" s="52"/>
      <c r="I56" s="52"/>
      <c r="J56" s="52"/>
      <c r="K56" s="28"/>
      <c r="L56" s="29"/>
    </row>
    <row r="57" spans="1:12" ht="18.75" customHeight="1" x14ac:dyDescent="0.3">
      <c r="A57" s="57" t="s">
        <v>609</v>
      </c>
      <c r="B57" s="52"/>
      <c r="C57" s="58">
        <v>2000</v>
      </c>
      <c r="D57" s="52"/>
      <c r="E57" s="9"/>
      <c r="F57" s="52"/>
      <c r="G57" s="59">
        <f t="shared" si="0"/>
        <v>0</v>
      </c>
      <c r="H57" s="52"/>
      <c r="I57" s="52"/>
      <c r="J57" s="52"/>
      <c r="K57" s="28"/>
      <c r="L57" s="29"/>
    </row>
    <row r="58" spans="1:12" ht="18.75" customHeight="1" x14ac:dyDescent="0.3">
      <c r="A58" s="57" t="s">
        <v>37</v>
      </c>
      <c r="B58" s="52"/>
      <c r="C58" s="58">
        <v>927</v>
      </c>
      <c r="D58" s="52"/>
      <c r="E58" s="9"/>
      <c r="F58" s="52"/>
      <c r="G58" s="59">
        <f t="shared" si="0"/>
        <v>0</v>
      </c>
      <c r="H58" s="52"/>
      <c r="I58" s="52"/>
      <c r="J58" s="52"/>
      <c r="K58" s="28"/>
      <c r="L58" s="29"/>
    </row>
    <row r="59" spans="1:12" ht="18.75" customHeight="1" x14ac:dyDescent="0.3">
      <c r="A59" s="57" t="s">
        <v>132</v>
      </c>
      <c r="B59" s="52"/>
      <c r="C59" s="58">
        <f>846+1002</f>
        <v>1848</v>
      </c>
      <c r="D59" s="52"/>
      <c r="E59" s="9"/>
      <c r="F59" s="52"/>
      <c r="G59" s="59">
        <f t="shared" si="0"/>
        <v>0</v>
      </c>
      <c r="H59" s="52"/>
      <c r="I59" s="52"/>
      <c r="J59" s="52"/>
      <c r="K59" s="28"/>
      <c r="L59" s="29"/>
    </row>
    <row r="60" spans="1:12" ht="18.75" customHeight="1" x14ac:dyDescent="0.3">
      <c r="A60" s="57" t="s">
        <v>219</v>
      </c>
      <c r="B60" s="52"/>
      <c r="C60" s="58">
        <v>1012</v>
      </c>
      <c r="D60" s="52"/>
      <c r="E60" s="9"/>
      <c r="F60" s="52"/>
      <c r="G60" s="59">
        <f t="shared" ref="G60" si="6">C60*E60</f>
        <v>0</v>
      </c>
      <c r="H60" s="52"/>
      <c r="I60" s="52"/>
      <c r="J60" s="52"/>
      <c r="K60" s="28"/>
      <c r="L60" s="29"/>
    </row>
    <row r="61" spans="1:12" ht="18.75" customHeight="1" x14ac:dyDescent="0.3">
      <c r="A61" s="57" t="s">
        <v>220</v>
      </c>
      <c r="B61" s="52"/>
      <c r="C61" s="58">
        <v>916</v>
      </c>
      <c r="D61" s="52"/>
      <c r="E61" s="9"/>
      <c r="F61" s="52"/>
      <c r="G61" s="59">
        <f t="shared" si="0"/>
        <v>0</v>
      </c>
      <c r="H61" s="52"/>
      <c r="I61" s="52"/>
      <c r="J61" s="52"/>
      <c r="K61" s="28"/>
      <c r="L61" s="29"/>
    </row>
    <row r="62" spans="1:12" ht="18.75" customHeight="1" x14ac:dyDescent="0.3">
      <c r="A62" s="57" t="s">
        <v>497</v>
      </c>
      <c r="B62" s="52"/>
      <c r="C62" s="58">
        <v>1311</v>
      </c>
      <c r="D62" s="52"/>
      <c r="E62" s="9"/>
      <c r="F62" s="52"/>
      <c r="G62" s="59">
        <f t="shared" si="0"/>
        <v>0</v>
      </c>
      <c r="H62" s="52"/>
      <c r="I62" s="52"/>
      <c r="J62" s="52"/>
      <c r="K62" s="28"/>
      <c r="L62" s="29"/>
    </row>
    <row r="63" spans="1:12" ht="18.75" customHeight="1" x14ac:dyDescent="0.3">
      <c r="A63" s="57" t="s">
        <v>610</v>
      </c>
      <c r="B63" s="52"/>
      <c r="C63" s="58">
        <v>720</v>
      </c>
      <c r="D63" s="52"/>
      <c r="E63" s="9"/>
      <c r="F63" s="52"/>
      <c r="G63" s="59">
        <f t="shared" ref="G63:G65" si="7">C63*E63</f>
        <v>0</v>
      </c>
      <c r="H63" s="52"/>
      <c r="I63" s="52"/>
      <c r="J63" s="52"/>
      <c r="K63" s="28"/>
      <c r="L63" s="29"/>
    </row>
    <row r="64" spans="1:12" ht="18.75" customHeight="1" x14ac:dyDescent="0.3">
      <c r="A64" s="57" t="s">
        <v>611</v>
      </c>
      <c r="B64" s="52"/>
      <c r="C64" s="58">
        <v>2131</v>
      </c>
      <c r="D64" s="52"/>
      <c r="E64" s="9"/>
      <c r="F64" s="52"/>
      <c r="G64" s="59">
        <f t="shared" si="7"/>
        <v>0</v>
      </c>
      <c r="H64" s="52"/>
      <c r="I64" s="52"/>
      <c r="J64" s="52"/>
      <c r="K64" s="28"/>
      <c r="L64" s="29"/>
    </row>
    <row r="65" spans="1:12" ht="18.75" customHeight="1" x14ac:dyDescent="0.3">
      <c r="A65" s="57" t="s">
        <v>612</v>
      </c>
      <c r="B65" s="52"/>
      <c r="C65" s="58">
        <v>580</v>
      </c>
      <c r="D65" s="52"/>
      <c r="E65" s="9"/>
      <c r="F65" s="52"/>
      <c r="G65" s="59">
        <f t="shared" si="7"/>
        <v>0</v>
      </c>
      <c r="H65" s="52"/>
      <c r="I65" s="52"/>
      <c r="J65" s="52"/>
      <c r="K65" s="28"/>
      <c r="L65" s="29"/>
    </row>
    <row r="66" spans="1:12" ht="18.75" customHeight="1" x14ac:dyDescent="0.3">
      <c r="A66" s="57" t="s">
        <v>498</v>
      </c>
      <c r="B66" s="52"/>
      <c r="C66" s="58">
        <v>2644</v>
      </c>
      <c r="D66" s="52"/>
      <c r="E66" s="9"/>
      <c r="F66" s="52"/>
      <c r="G66" s="59">
        <f t="shared" si="0"/>
        <v>0</v>
      </c>
      <c r="H66" s="52"/>
      <c r="I66" s="52"/>
      <c r="J66" s="52"/>
      <c r="K66" s="28"/>
      <c r="L66" s="29"/>
    </row>
    <row r="67" spans="1:12" ht="18.75" customHeight="1" x14ac:dyDescent="0.3">
      <c r="A67" s="57" t="s">
        <v>613</v>
      </c>
      <c r="B67" s="52"/>
      <c r="C67" s="58">
        <v>4520</v>
      </c>
      <c r="D67" s="52"/>
      <c r="E67" s="9"/>
      <c r="F67" s="52"/>
      <c r="G67" s="59">
        <f t="shared" ref="G67:G68" si="8">C67*E67</f>
        <v>0</v>
      </c>
      <c r="H67" s="52"/>
      <c r="I67" s="52"/>
      <c r="J67" s="52"/>
      <c r="K67" s="28"/>
      <c r="L67" s="29"/>
    </row>
    <row r="68" spans="1:12" ht="18.75" customHeight="1" x14ac:dyDescent="0.3">
      <c r="A68" s="57" t="s">
        <v>614</v>
      </c>
      <c r="B68" s="52"/>
      <c r="C68" s="58">
        <v>51622</v>
      </c>
      <c r="D68" s="52"/>
      <c r="E68" s="9"/>
      <c r="F68" s="52"/>
      <c r="G68" s="59">
        <f t="shared" si="8"/>
        <v>0</v>
      </c>
      <c r="H68" s="52"/>
      <c r="I68" s="52"/>
      <c r="J68" s="52"/>
      <c r="K68" s="28"/>
      <c r="L68" s="29"/>
    </row>
    <row r="69" spans="1:12" ht="18.75" customHeight="1" x14ac:dyDescent="0.3">
      <c r="A69" s="57" t="s">
        <v>134</v>
      </c>
      <c r="B69" s="52"/>
      <c r="C69" s="58">
        <v>1301</v>
      </c>
      <c r="D69" s="52"/>
      <c r="E69" s="9"/>
      <c r="F69" s="52"/>
      <c r="G69" s="59">
        <f t="shared" si="0"/>
        <v>0</v>
      </c>
      <c r="H69" s="52"/>
      <c r="I69" s="52"/>
      <c r="J69" s="52"/>
      <c r="K69" s="28"/>
      <c r="L69" s="29"/>
    </row>
    <row r="70" spans="1:12" ht="18.75" customHeight="1" x14ac:dyDescent="0.3">
      <c r="A70" s="57" t="s">
        <v>499</v>
      </c>
      <c r="B70" s="52"/>
      <c r="C70" s="58">
        <v>1410</v>
      </c>
      <c r="D70" s="52"/>
      <c r="E70" s="9"/>
      <c r="F70" s="52"/>
      <c r="G70" s="59">
        <f t="shared" si="0"/>
        <v>0</v>
      </c>
      <c r="H70" s="52"/>
      <c r="I70" s="52"/>
      <c r="J70" s="52"/>
      <c r="K70" s="28"/>
      <c r="L70" s="29"/>
    </row>
    <row r="71" spans="1:12" ht="18.75" customHeight="1" x14ac:dyDescent="0.3">
      <c r="A71" s="57" t="s">
        <v>615</v>
      </c>
      <c r="B71" s="52"/>
      <c r="C71" s="58">
        <v>900</v>
      </c>
      <c r="D71" s="52"/>
      <c r="E71" s="9"/>
      <c r="F71" s="52"/>
      <c r="G71" s="59">
        <f t="shared" ref="G71:G73" si="9">C71*E71</f>
        <v>0</v>
      </c>
      <c r="H71" s="52"/>
      <c r="I71" s="52"/>
      <c r="J71" s="52"/>
      <c r="K71" s="28"/>
      <c r="L71" s="29"/>
    </row>
    <row r="72" spans="1:12" ht="18.75" customHeight="1" x14ac:dyDescent="0.3">
      <c r="A72" s="57" t="s">
        <v>616</v>
      </c>
      <c r="B72" s="52"/>
      <c r="C72" s="58">
        <v>933</v>
      </c>
      <c r="D72" s="52"/>
      <c r="E72" s="9"/>
      <c r="F72" s="52"/>
      <c r="G72" s="59">
        <f t="shared" si="9"/>
        <v>0</v>
      </c>
      <c r="H72" s="52"/>
      <c r="I72" s="52"/>
      <c r="J72" s="52"/>
      <c r="K72" s="28"/>
      <c r="L72" s="29"/>
    </row>
    <row r="73" spans="1:12" ht="18.75" customHeight="1" x14ac:dyDescent="0.3">
      <c r="A73" s="57" t="s">
        <v>39</v>
      </c>
      <c r="B73" s="52"/>
      <c r="C73" s="58">
        <v>530</v>
      </c>
      <c r="D73" s="52"/>
      <c r="E73" s="9"/>
      <c r="F73" s="52"/>
      <c r="G73" s="59">
        <f t="shared" si="9"/>
        <v>0</v>
      </c>
      <c r="H73" s="52"/>
      <c r="I73" s="52"/>
      <c r="J73" s="52"/>
      <c r="K73" s="28"/>
      <c r="L73" s="29"/>
    </row>
    <row r="74" spans="1:12" ht="18.75" customHeight="1" x14ac:dyDescent="0.3">
      <c r="A74" s="57" t="s">
        <v>40</v>
      </c>
      <c r="B74" s="52"/>
      <c r="C74" s="58">
        <v>2726</v>
      </c>
      <c r="D74" s="52"/>
      <c r="E74" s="9"/>
      <c r="F74" s="52"/>
      <c r="G74" s="59">
        <f t="shared" si="0"/>
        <v>0</v>
      </c>
      <c r="H74" s="52"/>
      <c r="I74" s="52"/>
      <c r="J74" s="52"/>
      <c r="K74" s="28"/>
      <c r="L74" s="29"/>
    </row>
    <row r="75" spans="1:12" ht="18.75" customHeight="1" x14ac:dyDescent="0.3">
      <c r="A75" s="57" t="s">
        <v>419</v>
      </c>
      <c r="B75" s="52"/>
      <c r="C75" s="58">
        <v>1572</v>
      </c>
      <c r="D75" s="52"/>
      <c r="E75" s="9"/>
      <c r="F75" s="52"/>
      <c r="G75" s="59">
        <f t="shared" si="0"/>
        <v>0</v>
      </c>
      <c r="H75" s="52"/>
      <c r="I75" s="52"/>
      <c r="J75" s="52"/>
      <c r="K75" s="28"/>
      <c r="L75" s="29"/>
    </row>
    <row r="76" spans="1:12" ht="18.75" customHeight="1" x14ac:dyDescent="0.3">
      <c r="A76" s="57" t="s">
        <v>562</v>
      </c>
      <c r="B76" s="52"/>
      <c r="C76" s="58">
        <v>820</v>
      </c>
      <c r="D76" s="52"/>
      <c r="E76" s="9"/>
      <c r="F76" s="52"/>
      <c r="G76" s="59">
        <f t="shared" ref="G76:G77" si="10">C76*E76</f>
        <v>0</v>
      </c>
      <c r="H76" s="52"/>
      <c r="I76" s="52"/>
      <c r="J76" s="52"/>
      <c r="K76" s="28"/>
      <c r="L76" s="29"/>
    </row>
    <row r="77" spans="1:12" ht="18.75" customHeight="1" x14ac:dyDescent="0.3">
      <c r="A77" s="57" t="s">
        <v>617</v>
      </c>
      <c r="B77" s="52"/>
      <c r="C77" s="58">
        <v>59125</v>
      </c>
      <c r="D77" s="52"/>
      <c r="E77" s="9"/>
      <c r="F77" s="52"/>
      <c r="G77" s="59">
        <f t="shared" si="10"/>
        <v>0</v>
      </c>
      <c r="H77" s="52"/>
      <c r="I77" s="52"/>
      <c r="J77" s="52"/>
      <c r="K77" s="28"/>
      <c r="L77" s="29"/>
    </row>
    <row r="78" spans="1:12" ht="18.75" customHeight="1" x14ac:dyDescent="0.25">
      <c r="A78" s="57" t="s">
        <v>41</v>
      </c>
      <c r="B78" s="53"/>
      <c r="C78" s="58">
        <v>9329</v>
      </c>
      <c r="D78" s="53"/>
      <c r="E78" s="9"/>
      <c r="F78" s="53"/>
      <c r="G78" s="59">
        <f t="shared" si="0"/>
        <v>0</v>
      </c>
      <c r="H78" s="53"/>
      <c r="I78" s="53"/>
      <c r="J78" s="53"/>
      <c r="K78" s="29"/>
      <c r="L78" s="29"/>
    </row>
    <row r="79" spans="1:12" ht="18.75" customHeight="1" x14ac:dyDescent="0.25">
      <c r="A79" s="57" t="s">
        <v>618</v>
      </c>
      <c r="B79" s="53"/>
      <c r="C79" s="58">
        <v>818</v>
      </c>
      <c r="D79" s="53"/>
      <c r="E79" s="9"/>
      <c r="F79" s="53"/>
      <c r="G79" s="59">
        <f t="shared" ref="G79" si="11">C79*E79</f>
        <v>0</v>
      </c>
      <c r="H79" s="53"/>
      <c r="I79" s="53"/>
      <c r="J79" s="53"/>
      <c r="K79" s="29"/>
      <c r="L79" s="29"/>
    </row>
    <row r="80" spans="1:12" ht="18.75" customHeight="1" x14ac:dyDescent="0.25">
      <c r="A80" s="57" t="s">
        <v>42</v>
      </c>
      <c r="B80" s="53"/>
      <c r="C80" s="58">
        <v>800</v>
      </c>
      <c r="D80" s="53"/>
      <c r="E80" s="9"/>
      <c r="F80" s="53"/>
      <c r="G80" s="59">
        <f t="shared" si="0"/>
        <v>0</v>
      </c>
      <c r="H80" s="53"/>
      <c r="I80" s="53"/>
      <c r="J80" s="53"/>
      <c r="K80" s="29"/>
      <c r="L80" s="29"/>
    </row>
    <row r="81" spans="1:12" ht="18.75" customHeight="1" x14ac:dyDescent="0.25">
      <c r="A81" s="57" t="s">
        <v>476</v>
      </c>
      <c r="B81" s="53"/>
      <c r="C81" s="58">
        <v>2312</v>
      </c>
      <c r="D81" s="53"/>
      <c r="E81" s="9"/>
      <c r="F81" s="53"/>
      <c r="G81" s="59">
        <f t="shared" si="0"/>
        <v>0</v>
      </c>
      <c r="H81" s="53"/>
      <c r="I81" s="53"/>
      <c r="J81" s="53"/>
      <c r="K81" s="29"/>
      <c r="L81" s="29"/>
    </row>
    <row r="82" spans="1:12" ht="18.75" customHeight="1" x14ac:dyDescent="0.25">
      <c r="A82" s="57" t="s">
        <v>43</v>
      </c>
      <c r="B82" s="53"/>
      <c r="C82" s="58">
        <v>646</v>
      </c>
      <c r="D82" s="53"/>
      <c r="E82" s="9"/>
      <c r="F82" s="53"/>
      <c r="G82" s="59">
        <f t="shared" ref="G82" si="12">C82*E82</f>
        <v>0</v>
      </c>
      <c r="H82" s="53"/>
      <c r="I82" s="53"/>
      <c r="J82" s="53"/>
      <c r="K82" s="29"/>
      <c r="L82" s="29"/>
    </row>
    <row r="83" spans="1:12" ht="18.75" customHeight="1" x14ac:dyDescent="0.25">
      <c r="A83" s="57" t="s">
        <v>423</v>
      </c>
      <c r="B83" s="53"/>
      <c r="C83" s="58">
        <v>2470</v>
      </c>
      <c r="D83" s="53"/>
      <c r="E83" s="9"/>
      <c r="F83" s="53"/>
      <c r="G83" s="59">
        <f t="shared" ref="G83:G87" si="13">C83*E83</f>
        <v>0</v>
      </c>
      <c r="H83" s="53"/>
      <c r="I83" s="53"/>
      <c r="J83" s="53"/>
      <c r="K83" s="29"/>
      <c r="L83" s="29"/>
    </row>
    <row r="84" spans="1:12" ht="18.75" customHeight="1" x14ac:dyDescent="0.25">
      <c r="A84" s="57" t="s">
        <v>141</v>
      </c>
      <c r="B84" s="53"/>
      <c r="C84" s="58">
        <v>572</v>
      </c>
      <c r="D84" s="53"/>
      <c r="E84" s="9"/>
      <c r="F84" s="53"/>
      <c r="G84" s="59">
        <f t="shared" si="13"/>
        <v>0</v>
      </c>
      <c r="H84" s="53"/>
      <c r="I84" s="53"/>
      <c r="J84" s="53"/>
      <c r="K84" s="29"/>
      <c r="L84" s="29"/>
    </row>
    <row r="85" spans="1:12" ht="18.75" customHeight="1" x14ac:dyDescent="0.25">
      <c r="A85" s="57" t="s">
        <v>619</v>
      </c>
      <c r="B85" s="53"/>
      <c r="C85" s="58">
        <v>2600</v>
      </c>
      <c r="D85" s="53"/>
      <c r="E85" s="9"/>
      <c r="F85" s="53"/>
      <c r="G85" s="59">
        <f t="shared" si="13"/>
        <v>0</v>
      </c>
      <c r="H85" s="53"/>
      <c r="I85" s="53"/>
      <c r="J85" s="53"/>
      <c r="K85" s="29"/>
      <c r="L85" s="29"/>
    </row>
    <row r="86" spans="1:12" ht="18.75" customHeight="1" x14ac:dyDescent="0.25">
      <c r="A86" s="57" t="s">
        <v>620</v>
      </c>
      <c r="B86" s="53"/>
      <c r="C86" s="58">
        <v>18447</v>
      </c>
      <c r="D86" s="53"/>
      <c r="E86" s="9"/>
      <c r="F86" s="53"/>
      <c r="G86" s="59">
        <f t="shared" si="13"/>
        <v>0</v>
      </c>
      <c r="H86" s="53"/>
      <c r="I86" s="53"/>
      <c r="J86" s="53"/>
      <c r="K86" s="29"/>
      <c r="L86" s="29"/>
    </row>
    <row r="87" spans="1:12" ht="18.75" customHeight="1" x14ac:dyDescent="0.25">
      <c r="A87" s="57" t="s">
        <v>45</v>
      </c>
      <c r="B87" s="53"/>
      <c r="C87" s="58">
        <v>2067</v>
      </c>
      <c r="D87" s="53"/>
      <c r="E87" s="9"/>
      <c r="F87" s="53"/>
      <c r="G87" s="59">
        <f t="shared" si="13"/>
        <v>0</v>
      </c>
      <c r="H87" s="53"/>
      <c r="I87" s="53"/>
      <c r="J87" s="53"/>
      <c r="K87" s="29"/>
      <c r="L87" s="29"/>
    </row>
    <row r="88" spans="1:12" ht="18.75" customHeight="1" x14ac:dyDescent="0.25">
      <c r="A88" s="57" t="s">
        <v>500</v>
      </c>
      <c r="B88" s="53"/>
      <c r="C88" s="58">
        <v>1090</v>
      </c>
      <c r="D88" s="53"/>
      <c r="E88" s="9"/>
      <c r="F88" s="53"/>
      <c r="G88" s="59">
        <f t="shared" si="0"/>
        <v>0</v>
      </c>
      <c r="H88" s="53"/>
      <c r="I88" s="53"/>
      <c r="J88" s="53"/>
      <c r="K88" s="29"/>
      <c r="L88" s="29"/>
    </row>
    <row r="89" spans="1:12" ht="18.75" customHeight="1" x14ac:dyDescent="0.25">
      <c r="A89" s="57" t="s">
        <v>525</v>
      </c>
      <c r="B89" s="53"/>
      <c r="C89" s="58">
        <v>524</v>
      </c>
      <c r="D89" s="53"/>
      <c r="E89" s="9"/>
      <c r="F89" s="53"/>
      <c r="G89" s="59">
        <f t="shared" ref="G89:G90" si="14">C89*E89</f>
        <v>0</v>
      </c>
      <c r="H89" s="53"/>
      <c r="I89" s="53"/>
      <c r="J89" s="53"/>
      <c r="K89" s="29"/>
      <c r="L89" s="29"/>
    </row>
    <row r="90" spans="1:12" ht="18.75" customHeight="1" x14ac:dyDescent="0.25">
      <c r="A90" s="57" t="s">
        <v>621</v>
      </c>
      <c r="B90" s="53"/>
      <c r="C90" s="58">
        <v>512</v>
      </c>
      <c r="D90" s="53"/>
      <c r="E90" s="9"/>
      <c r="F90" s="53"/>
      <c r="G90" s="59">
        <f t="shared" si="14"/>
        <v>0</v>
      </c>
      <c r="H90" s="53"/>
      <c r="I90" s="53"/>
      <c r="J90" s="53"/>
      <c r="K90" s="29"/>
      <c r="L90" s="29"/>
    </row>
    <row r="91" spans="1:12" ht="18.75" customHeight="1" x14ac:dyDescent="0.25">
      <c r="A91" s="57" t="s">
        <v>501</v>
      </c>
      <c r="B91" s="53"/>
      <c r="C91" s="58">
        <v>1026</v>
      </c>
      <c r="D91" s="53"/>
      <c r="E91" s="9"/>
      <c r="F91" s="53"/>
      <c r="G91" s="59">
        <f t="shared" si="0"/>
        <v>0</v>
      </c>
      <c r="H91" s="53"/>
      <c r="I91" s="53"/>
      <c r="J91" s="53"/>
      <c r="K91" s="29"/>
      <c r="L91" s="29"/>
    </row>
    <row r="92" spans="1:12" ht="18.75" customHeight="1" x14ac:dyDescent="0.25">
      <c r="A92" s="57" t="s">
        <v>47</v>
      </c>
      <c r="B92" s="53"/>
      <c r="C92" s="58">
        <v>1167</v>
      </c>
      <c r="D92" s="53"/>
      <c r="E92" s="9"/>
      <c r="F92" s="53"/>
      <c r="G92" s="59">
        <f t="shared" si="0"/>
        <v>0</v>
      </c>
      <c r="H92" s="53"/>
      <c r="I92" s="53"/>
      <c r="J92" s="53"/>
      <c r="K92" s="29"/>
      <c r="L92" s="29"/>
    </row>
    <row r="93" spans="1:12" ht="18.75" customHeight="1" x14ac:dyDescent="0.25">
      <c r="A93" s="57" t="s">
        <v>48</v>
      </c>
      <c r="B93" s="53"/>
      <c r="C93" s="58">
        <v>744</v>
      </c>
      <c r="D93" s="53"/>
      <c r="E93" s="9"/>
      <c r="F93" s="53"/>
      <c r="G93" s="59">
        <f t="shared" ref="G93" si="15">C93*E93</f>
        <v>0</v>
      </c>
      <c r="H93" s="53"/>
      <c r="I93" s="53"/>
      <c r="J93" s="53"/>
      <c r="K93" s="29"/>
      <c r="L93" s="29"/>
    </row>
    <row r="94" spans="1:12" ht="18.75" customHeight="1" x14ac:dyDescent="0.25">
      <c r="A94" s="57" t="s">
        <v>49</v>
      </c>
      <c r="B94" s="53"/>
      <c r="C94" s="58">
        <v>1326</v>
      </c>
      <c r="D94" s="53"/>
      <c r="E94" s="9"/>
      <c r="F94" s="53"/>
      <c r="G94" s="59">
        <f t="shared" si="0"/>
        <v>0</v>
      </c>
      <c r="H94" s="53"/>
      <c r="I94" s="53"/>
      <c r="J94" s="53"/>
      <c r="K94" s="29"/>
      <c r="L94" s="29"/>
    </row>
    <row r="95" spans="1:12" ht="18.75" customHeight="1" x14ac:dyDescent="0.25">
      <c r="A95" s="57" t="s">
        <v>51</v>
      </c>
      <c r="B95" s="53"/>
      <c r="C95" s="58">
        <v>5621</v>
      </c>
      <c r="D95" s="53"/>
      <c r="E95" s="9"/>
      <c r="F95" s="53"/>
      <c r="G95" s="59">
        <f t="shared" si="0"/>
        <v>0</v>
      </c>
      <c r="H95" s="53"/>
      <c r="I95" s="53"/>
      <c r="J95" s="53"/>
      <c r="K95" s="29"/>
      <c r="L95" s="29"/>
    </row>
    <row r="96" spans="1:12" ht="18.75" customHeight="1" x14ac:dyDescent="0.25">
      <c r="A96" s="57" t="s">
        <v>52</v>
      </c>
      <c r="B96" s="53"/>
      <c r="C96" s="58">
        <v>2314</v>
      </c>
      <c r="D96" s="53"/>
      <c r="E96" s="9"/>
      <c r="F96" s="53"/>
      <c r="G96" s="59">
        <f t="shared" si="0"/>
        <v>0</v>
      </c>
      <c r="H96" s="53"/>
      <c r="I96" s="53"/>
      <c r="J96" s="53"/>
      <c r="K96" s="29"/>
      <c r="L96" s="29"/>
    </row>
    <row r="97" spans="1:12" ht="18.75" customHeight="1" x14ac:dyDescent="0.25">
      <c r="A97" s="57" t="s">
        <v>53</v>
      </c>
      <c r="B97" s="53"/>
      <c r="C97" s="58">
        <v>2990</v>
      </c>
      <c r="D97" s="53"/>
      <c r="E97" s="9"/>
      <c r="F97" s="53"/>
      <c r="G97" s="59">
        <f t="shared" si="0"/>
        <v>0</v>
      </c>
      <c r="H97" s="53"/>
      <c r="I97" s="53"/>
      <c r="J97" s="53"/>
      <c r="K97" s="29"/>
      <c r="L97" s="29"/>
    </row>
    <row r="98" spans="1:12" ht="18.75" customHeight="1" x14ac:dyDescent="0.25">
      <c r="A98" s="57" t="s">
        <v>54</v>
      </c>
      <c r="B98" s="53"/>
      <c r="C98" s="58">
        <v>1872</v>
      </c>
      <c r="D98" s="53"/>
      <c r="E98" s="9"/>
      <c r="F98" s="53"/>
      <c r="G98" s="59">
        <f t="shared" si="0"/>
        <v>0</v>
      </c>
      <c r="H98" s="53"/>
      <c r="I98" s="53"/>
      <c r="J98" s="53"/>
      <c r="K98" s="29"/>
      <c r="L98" s="29"/>
    </row>
    <row r="99" spans="1:12" ht="18.75" customHeight="1" x14ac:dyDescent="0.25">
      <c r="A99" s="57" t="s">
        <v>143</v>
      </c>
      <c r="B99" s="53"/>
      <c r="C99" s="58">
        <v>2301</v>
      </c>
      <c r="D99" s="53"/>
      <c r="E99" s="9"/>
      <c r="F99" s="53"/>
      <c r="G99" s="59">
        <f t="shared" si="0"/>
        <v>0</v>
      </c>
      <c r="H99" s="53"/>
      <c r="I99" s="53"/>
      <c r="J99" s="53"/>
      <c r="K99" s="29"/>
      <c r="L99" s="29"/>
    </row>
    <row r="100" spans="1:12" ht="18.75" customHeight="1" x14ac:dyDescent="0.25">
      <c r="A100" s="57" t="s">
        <v>622</v>
      </c>
      <c r="B100" s="53"/>
      <c r="C100" s="58">
        <v>23650</v>
      </c>
      <c r="D100" s="53"/>
      <c r="E100" s="9"/>
      <c r="F100" s="53"/>
      <c r="G100" s="59">
        <f t="shared" si="0"/>
        <v>0</v>
      </c>
      <c r="H100" s="53"/>
      <c r="I100" s="53"/>
      <c r="J100" s="53"/>
      <c r="K100" s="29"/>
      <c r="L100" s="29"/>
    </row>
    <row r="101" spans="1:12" ht="18.75" customHeight="1" x14ac:dyDescent="0.25">
      <c r="A101" s="57" t="s">
        <v>623</v>
      </c>
      <c r="B101" s="53"/>
      <c r="C101" s="58">
        <v>3311</v>
      </c>
      <c r="D101" s="53"/>
      <c r="E101" s="9"/>
      <c r="F101" s="53"/>
      <c r="G101" s="59">
        <f t="shared" si="0"/>
        <v>0</v>
      </c>
      <c r="H101" s="53"/>
      <c r="I101" s="53"/>
      <c r="J101" s="53"/>
      <c r="K101" s="29"/>
      <c r="L101" s="29"/>
    </row>
    <row r="102" spans="1:12" ht="18.75" customHeight="1" x14ac:dyDescent="0.25">
      <c r="A102" s="57" t="s">
        <v>624</v>
      </c>
      <c r="B102" s="53"/>
      <c r="C102" s="58">
        <v>832</v>
      </c>
      <c r="D102" s="53"/>
      <c r="E102" s="9"/>
      <c r="F102" s="53"/>
      <c r="G102" s="59">
        <f t="shared" si="0"/>
        <v>0</v>
      </c>
      <c r="H102" s="53"/>
      <c r="I102" s="53"/>
      <c r="J102" s="53"/>
      <c r="K102" s="29"/>
      <c r="L102" s="29"/>
    </row>
    <row r="103" spans="1:12" ht="18.75" customHeight="1" x14ac:dyDescent="0.25">
      <c r="A103" s="57" t="s">
        <v>625</v>
      </c>
      <c r="B103" s="53"/>
      <c r="C103" s="58">
        <v>928</v>
      </c>
      <c r="D103" s="53"/>
      <c r="E103" s="9"/>
      <c r="F103" s="53"/>
      <c r="G103" s="59">
        <f t="shared" si="0"/>
        <v>0</v>
      </c>
      <c r="H103" s="53"/>
      <c r="I103" s="53"/>
      <c r="J103" s="53"/>
      <c r="K103" s="29"/>
      <c r="L103" s="29"/>
    </row>
    <row r="104" spans="1:12" ht="18.75" customHeight="1" x14ac:dyDescent="0.25">
      <c r="A104" s="57" t="s">
        <v>626</v>
      </c>
      <c r="B104" s="53"/>
      <c r="C104" s="58">
        <v>3005</v>
      </c>
      <c r="D104" s="53"/>
      <c r="E104" s="9"/>
      <c r="F104" s="53"/>
      <c r="G104" s="59">
        <f t="shared" si="0"/>
        <v>0</v>
      </c>
      <c r="H104" s="53"/>
      <c r="I104" s="53"/>
      <c r="J104" s="53"/>
      <c r="K104" s="29"/>
      <c r="L104" s="29"/>
    </row>
    <row r="105" spans="1:12" ht="18.75" customHeight="1" x14ac:dyDescent="0.25">
      <c r="A105" s="57" t="s">
        <v>627</v>
      </c>
      <c r="B105" s="53"/>
      <c r="C105" s="58">
        <v>694</v>
      </c>
      <c r="D105" s="53"/>
      <c r="E105" s="9"/>
      <c r="F105" s="53"/>
      <c r="G105" s="59">
        <f t="shared" si="0"/>
        <v>0</v>
      </c>
      <c r="H105" s="53"/>
      <c r="I105" s="53"/>
      <c r="J105" s="53"/>
      <c r="K105" s="29"/>
      <c r="L105" s="29"/>
    </row>
    <row r="106" spans="1:12" ht="18.75" customHeight="1" x14ac:dyDescent="0.25">
      <c r="A106" s="57" t="s">
        <v>628</v>
      </c>
      <c r="B106" s="53"/>
      <c r="C106" s="58">
        <v>34958</v>
      </c>
      <c r="D106" s="53"/>
      <c r="E106" s="9"/>
      <c r="F106" s="53"/>
      <c r="G106" s="59">
        <f t="shared" si="0"/>
        <v>0</v>
      </c>
      <c r="H106" s="53"/>
      <c r="I106" s="53"/>
      <c r="J106" s="53"/>
      <c r="K106" s="29"/>
      <c r="L106" s="29"/>
    </row>
    <row r="107" spans="1:12" ht="18.75" customHeight="1" x14ac:dyDescent="0.25">
      <c r="A107" s="57" t="s">
        <v>629</v>
      </c>
      <c r="B107" s="53"/>
      <c r="C107" s="58">
        <v>761</v>
      </c>
      <c r="D107" s="53"/>
      <c r="E107" s="9"/>
      <c r="F107" s="53"/>
      <c r="G107" s="59">
        <f t="shared" si="0"/>
        <v>0</v>
      </c>
      <c r="H107" s="53"/>
      <c r="I107" s="53"/>
      <c r="J107" s="53"/>
      <c r="K107" s="29"/>
      <c r="L107" s="29"/>
    </row>
    <row r="108" spans="1:12" ht="18.75" customHeight="1" x14ac:dyDescent="0.25">
      <c r="A108" s="57" t="s">
        <v>630</v>
      </c>
      <c r="B108" s="53"/>
      <c r="C108" s="58">
        <v>112400</v>
      </c>
      <c r="D108" s="53"/>
      <c r="E108" s="9"/>
      <c r="F108" s="53"/>
      <c r="G108" s="59">
        <f t="shared" si="0"/>
        <v>0</v>
      </c>
      <c r="H108" s="53"/>
      <c r="I108" s="53"/>
      <c r="J108" s="53"/>
      <c r="K108" s="29"/>
      <c r="L108" s="29"/>
    </row>
    <row r="109" spans="1:12" ht="18.75" customHeight="1" x14ac:dyDescent="0.25">
      <c r="A109" s="57" t="s">
        <v>631</v>
      </c>
      <c r="B109" s="53"/>
      <c r="C109" s="58">
        <v>197000</v>
      </c>
      <c r="D109" s="53"/>
      <c r="E109" s="9"/>
      <c r="F109" s="53"/>
      <c r="G109" s="59">
        <f t="shared" si="0"/>
        <v>0</v>
      </c>
      <c r="H109" s="53"/>
      <c r="I109" s="53"/>
      <c r="J109" s="53"/>
      <c r="K109" s="29"/>
      <c r="L109" s="29"/>
    </row>
    <row r="110" spans="1:12" ht="18.75" customHeight="1" x14ac:dyDescent="0.25">
      <c r="A110" s="57" t="s">
        <v>632</v>
      </c>
      <c r="B110" s="53"/>
      <c r="C110" s="58">
        <v>1695</v>
      </c>
      <c r="D110" s="53"/>
      <c r="E110" s="9"/>
      <c r="F110" s="53"/>
      <c r="G110" s="59">
        <f t="shared" si="0"/>
        <v>0</v>
      </c>
      <c r="H110" s="53"/>
      <c r="I110" s="53"/>
      <c r="J110" s="53"/>
      <c r="K110" s="29"/>
      <c r="L110" s="29"/>
    </row>
    <row r="111" spans="1:12" ht="18.75" customHeight="1" x14ac:dyDescent="0.25">
      <c r="A111" s="57" t="s">
        <v>633</v>
      </c>
      <c r="B111" s="53"/>
      <c r="C111" s="58">
        <v>980</v>
      </c>
      <c r="D111" s="53"/>
      <c r="E111" s="9"/>
      <c r="F111" s="53"/>
      <c r="G111" s="59">
        <f t="shared" si="0"/>
        <v>0</v>
      </c>
      <c r="H111" s="53"/>
      <c r="I111" s="53"/>
      <c r="J111" s="53"/>
      <c r="K111" s="29"/>
      <c r="L111" s="29"/>
    </row>
    <row r="112" spans="1:12" ht="18.75" customHeight="1" x14ac:dyDescent="0.25">
      <c r="A112" s="57" t="s">
        <v>634</v>
      </c>
      <c r="B112" s="53"/>
      <c r="C112" s="58">
        <v>29810</v>
      </c>
      <c r="D112" s="53"/>
      <c r="E112" s="9"/>
      <c r="F112" s="53"/>
      <c r="G112" s="59">
        <f t="shared" si="0"/>
        <v>0</v>
      </c>
      <c r="H112" s="53"/>
      <c r="I112" s="53"/>
      <c r="J112" s="53"/>
      <c r="K112" s="29"/>
      <c r="L112" s="29"/>
    </row>
    <row r="113" spans="1:12" ht="18.75" customHeight="1" x14ac:dyDescent="0.25">
      <c r="A113" s="57" t="s">
        <v>635</v>
      </c>
      <c r="B113" s="53"/>
      <c r="C113" s="58">
        <v>55440</v>
      </c>
      <c r="D113" s="53"/>
      <c r="E113" s="9"/>
      <c r="F113" s="53"/>
      <c r="G113" s="59">
        <f t="shared" si="0"/>
        <v>0</v>
      </c>
      <c r="H113" s="53"/>
      <c r="I113" s="53"/>
      <c r="J113" s="53"/>
      <c r="K113" s="29"/>
      <c r="L113" s="29"/>
    </row>
    <row r="114" spans="1:12" ht="18.75" customHeight="1" x14ac:dyDescent="0.25">
      <c r="A114" s="57" t="s">
        <v>279</v>
      </c>
      <c r="B114" s="53"/>
      <c r="C114" s="58">
        <v>2340</v>
      </c>
      <c r="D114" s="53"/>
      <c r="E114" s="9"/>
      <c r="F114" s="53"/>
      <c r="G114" s="59">
        <f t="shared" si="0"/>
        <v>0</v>
      </c>
      <c r="H114" s="53"/>
      <c r="I114" s="53"/>
      <c r="J114" s="53"/>
      <c r="K114" s="29"/>
      <c r="L114" s="29"/>
    </row>
    <row r="115" spans="1:12" ht="18.75" customHeight="1" x14ac:dyDescent="0.25">
      <c r="A115" s="57" t="s">
        <v>636</v>
      </c>
      <c r="B115" s="53"/>
      <c r="C115" s="58">
        <v>5520</v>
      </c>
      <c r="D115" s="53"/>
      <c r="E115" s="9"/>
      <c r="F115" s="53"/>
      <c r="G115" s="59">
        <f t="shared" si="0"/>
        <v>0</v>
      </c>
      <c r="H115" s="53"/>
      <c r="I115" s="53"/>
      <c r="J115" s="53"/>
      <c r="K115" s="29"/>
      <c r="L115" s="29"/>
    </row>
    <row r="116" spans="1:12" ht="18.75" customHeight="1" x14ac:dyDescent="0.25">
      <c r="A116" s="57" t="s">
        <v>637</v>
      </c>
      <c r="B116" s="53"/>
      <c r="C116" s="58">
        <v>54395</v>
      </c>
      <c r="D116" s="53"/>
      <c r="E116" s="9"/>
      <c r="F116" s="53"/>
      <c r="G116" s="59">
        <f t="shared" si="0"/>
        <v>0</v>
      </c>
      <c r="H116" s="53"/>
      <c r="I116" s="53"/>
      <c r="J116" s="53"/>
      <c r="K116" s="29"/>
      <c r="L116" s="29"/>
    </row>
    <row r="117" spans="1:12" ht="18.75" customHeight="1" x14ac:dyDescent="0.25">
      <c r="A117" s="57" t="s">
        <v>282</v>
      </c>
      <c r="B117" s="53"/>
      <c r="C117" s="58">
        <v>782</v>
      </c>
      <c r="D117" s="53"/>
      <c r="E117" s="9"/>
      <c r="F117" s="53"/>
      <c r="G117" s="59">
        <f t="shared" si="0"/>
        <v>0</v>
      </c>
      <c r="H117" s="53"/>
      <c r="I117" s="53"/>
      <c r="J117" s="53"/>
      <c r="K117" s="29"/>
      <c r="L117" s="29"/>
    </row>
    <row r="118" spans="1:12" ht="18.75" customHeight="1" x14ac:dyDescent="0.25">
      <c r="A118" s="57" t="s">
        <v>283</v>
      </c>
      <c r="B118" s="53"/>
      <c r="C118" s="58">
        <v>1508</v>
      </c>
      <c r="D118" s="53"/>
      <c r="E118" s="9"/>
      <c r="F118" s="53"/>
      <c r="G118" s="59">
        <f t="shared" si="0"/>
        <v>0</v>
      </c>
      <c r="H118" s="53"/>
      <c r="I118" s="53"/>
      <c r="J118" s="53"/>
      <c r="K118" s="29"/>
      <c r="L118" s="29"/>
    </row>
    <row r="119" spans="1:12" ht="18.75" customHeight="1" x14ac:dyDescent="0.25">
      <c r="A119" s="57" t="s">
        <v>638</v>
      </c>
      <c r="B119" s="53"/>
      <c r="C119" s="58">
        <v>750</v>
      </c>
      <c r="D119" s="53"/>
      <c r="E119" s="9"/>
      <c r="F119" s="53"/>
      <c r="G119" s="59">
        <f t="shared" si="0"/>
        <v>0</v>
      </c>
      <c r="H119" s="53"/>
      <c r="I119" s="53"/>
      <c r="J119" s="53"/>
      <c r="K119" s="29"/>
      <c r="L119" s="29"/>
    </row>
    <row r="120" spans="1:12" ht="18.75" customHeight="1" x14ac:dyDescent="0.25">
      <c r="A120" s="57" t="s">
        <v>639</v>
      </c>
      <c r="B120" s="53"/>
      <c r="C120" s="58">
        <v>600</v>
      </c>
      <c r="D120" s="53"/>
      <c r="E120" s="9"/>
      <c r="F120" s="53"/>
      <c r="G120" s="59">
        <f t="shared" si="0"/>
        <v>0</v>
      </c>
      <c r="H120" s="53"/>
      <c r="I120" s="53"/>
      <c r="J120" s="53"/>
      <c r="K120" s="29"/>
      <c r="L120" s="29"/>
    </row>
    <row r="121" spans="1:12" ht="18.75" customHeight="1" x14ac:dyDescent="0.25">
      <c r="A121" s="57" t="s">
        <v>640</v>
      </c>
      <c r="B121" s="53"/>
      <c r="C121" s="58">
        <v>600</v>
      </c>
      <c r="D121" s="53"/>
      <c r="E121" s="9"/>
      <c r="F121" s="53"/>
      <c r="G121" s="59">
        <f t="shared" si="0"/>
        <v>0</v>
      </c>
      <c r="H121" s="53"/>
      <c r="I121" s="53"/>
      <c r="J121" s="53"/>
      <c r="K121" s="29"/>
      <c r="L121" s="29"/>
    </row>
    <row r="122" spans="1:12" ht="18.75" customHeight="1" x14ac:dyDescent="0.25">
      <c r="A122" s="57" t="s">
        <v>148</v>
      </c>
      <c r="B122" s="53"/>
      <c r="C122" s="58">
        <v>1068</v>
      </c>
      <c r="D122" s="53"/>
      <c r="E122" s="9"/>
      <c r="F122" s="53"/>
      <c r="G122" s="59">
        <f t="shared" si="0"/>
        <v>0</v>
      </c>
      <c r="H122" s="53"/>
      <c r="I122" s="53"/>
      <c r="J122" s="53"/>
      <c r="K122" s="29"/>
      <c r="L122" s="29"/>
    </row>
    <row r="123" spans="1:12" ht="18.75" customHeight="1" x14ac:dyDescent="0.25">
      <c r="A123" s="57" t="s">
        <v>641</v>
      </c>
      <c r="B123" s="53"/>
      <c r="C123" s="58">
        <v>34529</v>
      </c>
      <c r="D123" s="53"/>
      <c r="E123" s="9"/>
      <c r="F123" s="53"/>
      <c r="G123" s="59">
        <f t="shared" si="0"/>
        <v>0</v>
      </c>
      <c r="H123" s="53"/>
      <c r="I123" s="53"/>
      <c r="J123" s="53"/>
      <c r="K123" s="29"/>
      <c r="L123" s="29"/>
    </row>
    <row r="124" spans="1:12" ht="18.75" customHeight="1" x14ac:dyDescent="0.25">
      <c r="A124" s="57" t="s">
        <v>152</v>
      </c>
      <c r="B124" s="53"/>
      <c r="C124" s="58">
        <v>1420</v>
      </c>
      <c r="D124" s="53"/>
      <c r="E124" s="9"/>
      <c r="F124" s="53"/>
      <c r="G124" s="59">
        <f t="shared" si="0"/>
        <v>0</v>
      </c>
      <c r="H124" s="53"/>
      <c r="I124" s="53"/>
      <c r="J124" s="53"/>
      <c r="K124" s="29"/>
      <c r="L124" s="29"/>
    </row>
    <row r="125" spans="1:12" ht="18.75" customHeight="1" x14ac:dyDescent="0.25">
      <c r="A125" s="57" t="s">
        <v>642</v>
      </c>
      <c r="B125" s="53"/>
      <c r="C125" s="58">
        <v>883</v>
      </c>
      <c r="D125" s="53"/>
      <c r="E125" s="9"/>
      <c r="F125" s="53"/>
      <c r="G125" s="59">
        <f t="shared" si="0"/>
        <v>0</v>
      </c>
      <c r="H125" s="53"/>
      <c r="I125" s="53"/>
      <c r="J125" s="53"/>
      <c r="K125" s="29"/>
      <c r="L125" s="29"/>
    </row>
    <row r="126" spans="1:12" ht="18.75" customHeight="1" x14ac:dyDescent="0.25">
      <c r="A126" s="57" t="s">
        <v>502</v>
      </c>
      <c r="B126" s="53"/>
      <c r="C126" s="58">
        <v>684</v>
      </c>
      <c r="D126" s="53"/>
      <c r="E126" s="9"/>
      <c r="F126" s="53"/>
      <c r="G126" s="59">
        <f t="shared" si="0"/>
        <v>0</v>
      </c>
      <c r="H126" s="53"/>
      <c r="I126" s="53"/>
      <c r="J126" s="53"/>
      <c r="K126" s="29"/>
      <c r="L126" s="29"/>
    </row>
    <row r="127" spans="1:12" ht="18.75" customHeight="1" x14ac:dyDescent="0.25">
      <c r="A127" s="57" t="s">
        <v>503</v>
      </c>
      <c r="B127" s="53"/>
      <c r="C127" s="58">
        <v>1214</v>
      </c>
      <c r="D127" s="53"/>
      <c r="E127" s="9"/>
      <c r="F127" s="53"/>
      <c r="G127" s="59">
        <f t="shared" si="0"/>
        <v>0</v>
      </c>
      <c r="H127" s="53"/>
      <c r="I127" s="53"/>
      <c r="J127" s="53"/>
      <c r="K127" s="29"/>
      <c r="L127" s="29"/>
    </row>
    <row r="128" spans="1:12" ht="18.75" customHeight="1" x14ac:dyDescent="0.25">
      <c r="A128" s="57" t="s">
        <v>643</v>
      </c>
      <c r="B128" s="53"/>
      <c r="C128" s="58">
        <v>944</v>
      </c>
      <c r="D128" s="53"/>
      <c r="E128" s="9"/>
      <c r="F128" s="53"/>
      <c r="G128" s="59">
        <f t="shared" si="0"/>
        <v>0</v>
      </c>
      <c r="H128" s="53"/>
      <c r="I128" s="53"/>
      <c r="J128" s="53"/>
      <c r="K128" s="29"/>
      <c r="L128" s="29"/>
    </row>
    <row r="129" spans="1:12" ht="18.75" customHeight="1" x14ac:dyDescent="0.25">
      <c r="A129" s="57" t="s">
        <v>68</v>
      </c>
      <c r="B129" s="53"/>
      <c r="C129" s="58">
        <v>3026</v>
      </c>
      <c r="D129" s="53"/>
      <c r="E129" s="9"/>
      <c r="F129" s="53"/>
      <c r="G129" s="59">
        <f t="shared" si="0"/>
        <v>0</v>
      </c>
      <c r="H129" s="53"/>
      <c r="I129" s="53"/>
      <c r="J129" s="53"/>
      <c r="K129" s="29"/>
      <c r="L129" s="29"/>
    </row>
    <row r="130" spans="1:12" ht="18.75" customHeight="1" x14ac:dyDescent="0.25">
      <c r="A130" s="57" t="s">
        <v>69</v>
      </c>
      <c r="B130" s="53"/>
      <c r="C130" s="58">
        <v>938</v>
      </c>
      <c r="D130" s="53"/>
      <c r="E130" s="9"/>
      <c r="F130" s="53"/>
      <c r="G130" s="59">
        <f t="shared" si="0"/>
        <v>0</v>
      </c>
      <c r="H130" s="53"/>
      <c r="I130" s="53"/>
      <c r="J130" s="53"/>
      <c r="K130" s="29"/>
      <c r="L130" s="29"/>
    </row>
    <row r="131" spans="1:12" ht="18.75" customHeight="1" x14ac:dyDescent="0.25">
      <c r="A131" s="57" t="s">
        <v>644</v>
      </c>
      <c r="B131" s="53"/>
      <c r="C131" s="58">
        <v>525</v>
      </c>
      <c r="D131" s="53"/>
      <c r="E131" s="9"/>
      <c r="F131" s="53"/>
      <c r="G131" s="59">
        <f t="shared" si="0"/>
        <v>0</v>
      </c>
      <c r="H131" s="53"/>
      <c r="I131" s="53"/>
      <c r="J131" s="53"/>
      <c r="K131" s="29"/>
      <c r="L131" s="29"/>
    </row>
    <row r="132" spans="1:12" ht="18.75" customHeight="1" x14ac:dyDescent="0.25">
      <c r="A132" s="57" t="s">
        <v>645</v>
      </c>
      <c r="B132" s="53"/>
      <c r="C132" s="58">
        <v>1326</v>
      </c>
      <c r="D132" s="53"/>
      <c r="E132" s="9"/>
      <c r="F132" s="53"/>
      <c r="G132" s="59">
        <f t="shared" si="0"/>
        <v>0</v>
      </c>
      <c r="H132" s="53"/>
      <c r="I132" s="53"/>
      <c r="J132" s="53"/>
      <c r="K132" s="29"/>
      <c r="L132" s="29"/>
    </row>
    <row r="133" spans="1:12" ht="18.75" customHeight="1" x14ac:dyDescent="0.25">
      <c r="A133" s="57" t="s">
        <v>70</v>
      </c>
      <c r="B133" s="53"/>
      <c r="C133" s="58">
        <v>1242</v>
      </c>
      <c r="D133" s="53"/>
      <c r="E133" s="9"/>
      <c r="F133" s="53"/>
      <c r="G133" s="59">
        <f t="shared" si="0"/>
        <v>0</v>
      </c>
      <c r="H133" s="53"/>
      <c r="I133" s="53"/>
      <c r="J133" s="53"/>
      <c r="K133" s="29"/>
      <c r="L133" s="29"/>
    </row>
    <row r="134" spans="1:12" ht="18.75" customHeight="1" x14ac:dyDescent="0.25">
      <c r="A134" s="57" t="s">
        <v>646</v>
      </c>
      <c r="B134" s="53"/>
      <c r="C134" s="58">
        <v>2485</v>
      </c>
      <c r="D134" s="53"/>
      <c r="E134" s="9"/>
      <c r="F134" s="53"/>
      <c r="G134" s="59">
        <f t="shared" si="0"/>
        <v>0</v>
      </c>
      <c r="H134" s="53"/>
      <c r="I134" s="53"/>
      <c r="J134" s="53"/>
      <c r="K134" s="29"/>
      <c r="L134" s="29"/>
    </row>
    <row r="135" spans="1:12" ht="18.75" customHeight="1" x14ac:dyDescent="0.25">
      <c r="A135" s="57" t="s">
        <v>71</v>
      </c>
      <c r="B135" s="53"/>
      <c r="C135" s="58">
        <v>4737</v>
      </c>
      <c r="D135" s="53"/>
      <c r="E135" s="9"/>
      <c r="F135" s="53"/>
      <c r="G135" s="59">
        <f t="shared" si="0"/>
        <v>0</v>
      </c>
      <c r="H135" s="53"/>
      <c r="I135" s="53"/>
      <c r="J135" s="53"/>
      <c r="K135" s="29"/>
      <c r="L135" s="29"/>
    </row>
    <row r="136" spans="1:12" ht="18.75" customHeight="1" x14ac:dyDescent="0.25">
      <c r="A136" s="57" t="s">
        <v>71</v>
      </c>
      <c r="B136" s="53"/>
      <c r="C136" s="58">
        <v>2130</v>
      </c>
      <c r="D136" s="53"/>
      <c r="E136" s="9"/>
      <c r="F136" s="53"/>
      <c r="G136" s="59">
        <f t="shared" si="0"/>
        <v>0</v>
      </c>
      <c r="H136" s="53"/>
      <c r="I136" s="53"/>
      <c r="J136" s="53"/>
      <c r="K136" s="29"/>
      <c r="L136" s="29"/>
    </row>
    <row r="137" spans="1:12" ht="18.75" customHeight="1" x14ac:dyDescent="0.25">
      <c r="A137" s="57" t="s">
        <v>647</v>
      </c>
      <c r="B137" s="53"/>
      <c r="C137" s="58">
        <v>720</v>
      </c>
      <c r="D137" s="53"/>
      <c r="E137" s="9"/>
      <c r="F137" s="53"/>
      <c r="G137" s="59">
        <f t="shared" si="0"/>
        <v>0</v>
      </c>
      <c r="H137" s="53"/>
      <c r="I137" s="53"/>
      <c r="J137" s="53"/>
      <c r="K137" s="29"/>
      <c r="L137" s="29"/>
    </row>
    <row r="138" spans="1:12" ht="18.75" customHeight="1" x14ac:dyDescent="0.25">
      <c r="A138" s="57" t="s">
        <v>504</v>
      </c>
      <c r="B138" s="53"/>
      <c r="C138" s="58">
        <v>586</v>
      </c>
      <c r="D138" s="53"/>
      <c r="E138" s="9"/>
      <c r="F138" s="53"/>
      <c r="G138" s="59">
        <f t="shared" si="0"/>
        <v>0</v>
      </c>
      <c r="H138" s="53"/>
      <c r="I138" s="53"/>
      <c r="J138" s="53"/>
      <c r="K138" s="29"/>
      <c r="L138" s="29"/>
    </row>
    <row r="139" spans="1:12" ht="18.75" customHeight="1" x14ac:dyDescent="0.25">
      <c r="A139" s="57" t="s">
        <v>73</v>
      </c>
      <c r="B139" s="53"/>
      <c r="C139" s="58">
        <f>708+817</f>
        <v>1525</v>
      </c>
      <c r="D139" s="53"/>
      <c r="E139" s="9"/>
      <c r="F139" s="53"/>
      <c r="G139" s="59">
        <f t="shared" si="0"/>
        <v>0</v>
      </c>
      <c r="H139" s="53"/>
      <c r="I139" s="53"/>
      <c r="J139" s="53"/>
      <c r="K139" s="29"/>
      <c r="L139" s="29"/>
    </row>
    <row r="140" spans="1:12" ht="18.75" customHeight="1" x14ac:dyDescent="0.25">
      <c r="A140" s="57" t="s">
        <v>74</v>
      </c>
      <c r="B140" s="53"/>
      <c r="C140" s="58">
        <v>984</v>
      </c>
      <c r="D140" s="53"/>
      <c r="E140" s="9"/>
      <c r="F140" s="53"/>
      <c r="G140" s="59">
        <f t="shared" si="0"/>
        <v>0</v>
      </c>
      <c r="H140" s="53"/>
      <c r="I140" s="53"/>
      <c r="J140" s="53"/>
      <c r="K140" s="29"/>
      <c r="L140" s="29"/>
    </row>
    <row r="141" spans="1:12" ht="18.75" customHeight="1" x14ac:dyDescent="0.25">
      <c r="A141" s="57" t="s">
        <v>648</v>
      </c>
      <c r="B141" s="53"/>
      <c r="C141" s="58">
        <v>528</v>
      </c>
      <c r="D141" s="53"/>
      <c r="E141" s="9"/>
      <c r="F141" s="53"/>
      <c r="G141" s="59">
        <f t="shared" si="0"/>
        <v>0</v>
      </c>
      <c r="H141" s="53"/>
      <c r="I141" s="53"/>
      <c r="J141" s="53"/>
      <c r="K141" s="29"/>
      <c r="L141" s="29"/>
    </row>
    <row r="142" spans="1:12" ht="18.75" customHeight="1" x14ac:dyDescent="0.25">
      <c r="A142" s="57" t="s">
        <v>505</v>
      </c>
      <c r="B142" s="53"/>
      <c r="C142" s="58">
        <v>1053</v>
      </c>
      <c r="D142" s="53"/>
      <c r="E142" s="9"/>
      <c r="F142" s="53"/>
      <c r="G142" s="59">
        <f t="shared" si="0"/>
        <v>0</v>
      </c>
      <c r="H142" s="53"/>
      <c r="I142" s="53"/>
      <c r="J142" s="53"/>
      <c r="K142" s="29"/>
      <c r="L142" s="29"/>
    </row>
    <row r="143" spans="1:12" ht="18.75" customHeight="1" x14ac:dyDescent="0.25">
      <c r="A143" s="57" t="s">
        <v>649</v>
      </c>
      <c r="B143" s="53"/>
      <c r="C143" s="58">
        <v>697</v>
      </c>
      <c r="D143" s="53"/>
      <c r="E143" s="9"/>
      <c r="F143" s="53"/>
      <c r="G143" s="59">
        <f t="shared" si="0"/>
        <v>0</v>
      </c>
      <c r="H143" s="53"/>
      <c r="I143" s="53"/>
      <c r="J143" s="53"/>
      <c r="K143" s="29"/>
      <c r="L143" s="29"/>
    </row>
    <row r="144" spans="1:12" ht="18.75" customHeight="1" x14ac:dyDescent="0.25">
      <c r="A144" s="57" t="s">
        <v>650</v>
      </c>
      <c r="B144" s="53"/>
      <c r="C144" s="58">
        <v>8514</v>
      </c>
      <c r="D144" s="53"/>
      <c r="E144" s="9"/>
      <c r="F144" s="53"/>
      <c r="G144" s="59">
        <f t="shared" si="0"/>
        <v>0</v>
      </c>
      <c r="H144" s="53"/>
      <c r="I144" s="53"/>
      <c r="J144" s="53"/>
      <c r="K144" s="29"/>
      <c r="L144" s="29"/>
    </row>
    <row r="145" spans="1:12" ht="18.75" customHeight="1" x14ac:dyDescent="0.25">
      <c r="A145" s="57" t="s">
        <v>78</v>
      </c>
      <c r="B145" s="53"/>
      <c r="C145" s="58">
        <v>3400</v>
      </c>
      <c r="D145" s="53"/>
      <c r="E145" s="9"/>
      <c r="F145" s="53"/>
      <c r="G145" s="59">
        <f t="shared" si="0"/>
        <v>0</v>
      </c>
      <c r="H145" s="53"/>
      <c r="I145" s="53"/>
      <c r="J145" s="53"/>
      <c r="K145" s="29"/>
      <c r="L145" s="29"/>
    </row>
    <row r="146" spans="1:12" ht="18.75" customHeight="1" x14ac:dyDescent="0.25">
      <c r="A146" s="57" t="s">
        <v>79</v>
      </c>
      <c r="B146" s="53"/>
      <c r="C146" s="58">
        <v>1903</v>
      </c>
      <c r="D146" s="53"/>
      <c r="E146" s="9"/>
      <c r="F146" s="53"/>
      <c r="G146" s="59">
        <f t="shared" ref="G146:G218" si="16">C146*E146</f>
        <v>0</v>
      </c>
      <c r="H146" s="53"/>
      <c r="I146" s="53"/>
      <c r="J146" s="53"/>
      <c r="K146" s="29"/>
      <c r="L146" s="29"/>
    </row>
    <row r="147" spans="1:12" ht="18.75" customHeight="1" x14ac:dyDescent="0.25">
      <c r="A147" s="57" t="s">
        <v>80</v>
      </c>
      <c r="B147" s="53"/>
      <c r="C147" s="58">
        <v>1149</v>
      </c>
      <c r="D147" s="53"/>
      <c r="E147" s="9"/>
      <c r="F147" s="53"/>
      <c r="G147" s="59">
        <f t="shared" si="16"/>
        <v>0</v>
      </c>
      <c r="H147" s="53"/>
      <c r="I147" s="53"/>
      <c r="J147" s="53"/>
      <c r="K147" s="29"/>
      <c r="L147" s="29"/>
    </row>
    <row r="148" spans="1:12" ht="18.75" customHeight="1" x14ac:dyDescent="0.25">
      <c r="A148" s="57" t="s">
        <v>651</v>
      </c>
      <c r="B148" s="53"/>
      <c r="C148" s="58">
        <v>900</v>
      </c>
      <c r="D148" s="53"/>
      <c r="E148" s="9"/>
      <c r="F148" s="53"/>
      <c r="G148" s="59">
        <f t="shared" si="16"/>
        <v>0</v>
      </c>
      <c r="H148" s="53"/>
      <c r="I148" s="53"/>
      <c r="J148" s="53"/>
      <c r="K148" s="29"/>
      <c r="L148" s="29"/>
    </row>
    <row r="149" spans="1:12" ht="18.75" customHeight="1" x14ac:dyDescent="0.25">
      <c r="A149" s="57" t="s">
        <v>506</v>
      </c>
      <c r="B149" s="53"/>
      <c r="C149" s="58">
        <f>35+1364</f>
        <v>1399</v>
      </c>
      <c r="D149" s="53"/>
      <c r="E149" s="9"/>
      <c r="F149" s="53"/>
      <c r="G149" s="59">
        <f t="shared" si="16"/>
        <v>0</v>
      </c>
      <c r="H149" s="53"/>
      <c r="I149" s="53"/>
      <c r="J149" s="53"/>
      <c r="K149" s="29"/>
      <c r="L149" s="29"/>
    </row>
    <row r="150" spans="1:12" ht="18.75" customHeight="1" x14ac:dyDescent="0.25">
      <c r="A150" s="57" t="s">
        <v>652</v>
      </c>
      <c r="B150" s="53"/>
      <c r="C150" s="58">
        <v>10879</v>
      </c>
      <c r="D150" s="53"/>
      <c r="E150" s="9"/>
      <c r="F150" s="53"/>
      <c r="G150" s="59">
        <f t="shared" si="16"/>
        <v>0</v>
      </c>
      <c r="H150" s="53"/>
      <c r="I150" s="53"/>
      <c r="J150" s="53"/>
      <c r="K150" s="29"/>
      <c r="L150" s="29"/>
    </row>
    <row r="151" spans="1:12" ht="18.75" customHeight="1" x14ac:dyDescent="0.25">
      <c r="A151" s="57" t="s">
        <v>443</v>
      </c>
      <c r="B151" s="53"/>
      <c r="C151" s="58">
        <v>643</v>
      </c>
      <c r="D151" s="53"/>
      <c r="E151" s="9"/>
      <c r="F151" s="53"/>
      <c r="G151" s="59">
        <f t="shared" si="16"/>
        <v>0</v>
      </c>
      <c r="H151" s="53"/>
      <c r="I151" s="53"/>
      <c r="J151" s="53"/>
      <c r="K151" s="29"/>
      <c r="L151" s="29"/>
    </row>
    <row r="152" spans="1:12" ht="18.75" customHeight="1" x14ac:dyDescent="0.25">
      <c r="A152" s="57" t="s">
        <v>534</v>
      </c>
      <c r="B152" s="53"/>
      <c r="C152" s="58">
        <v>737</v>
      </c>
      <c r="D152" s="53"/>
      <c r="E152" s="9"/>
      <c r="F152" s="53"/>
      <c r="G152" s="59">
        <f t="shared" si="16"/>
        <v>0</v>
      </c>
      <c r="H152" s="53"/>
      <c r="I152" s="53"/>
      <c r="J152" s="53"/>
      <c r="K152" s="29"/>
      <c r="L152" s="29"/>
    </row>
    <row r="153" spans="1:12" ht="18.75" customHeight="1" x14ac:dyDescent="0.25">
      <c r="A153" s="57" t="s">
        <v>653</v>
      </c>
      <c r="B153" s="53"/>
      <c r="C153" s="58">
        <v>45784</v>
      </c>
      <c r="D153" s="53"/>
      <c r="E153" s="9"/>
      <c r="F153" s="53"/>
      <c r="G153" s="59">
        <f t="shared" si="16"/>
        <v>0</v>
      </c>
      <c r="H153" s="53"/>
      <c r="I153" s="53"/>
      <c r="J153" s="53"/>
      <c r="K153" s="29"/>
      <c r="L153" s="29"/>
    </row>
    <row r="154" spans="1:12" ht="18.75" customHeight="1" x14ac:dyDescent="0.25">
      <c r="A154" s="57" t="s">
        <v>446</v>
      </c>
      <c r="B154" s="53"/>
      <c r="C154" s="58">
        <v>536</v>
      </c>
      <c r="D154" s="53"/>
      <c r="E154" s="9"/>
      <c r="F154" s="53"/>
      <c r="G154" s="59">
        <f t="shared" si="16"/>
        <v>0</v>
      </c>
      <c r="H154" s="53"/>
      <c r="I154" s="53"/>
      <c r="J154" s="53"/>
      <c r="K154" s="29"/>
      <c r="L154" s="29"/>
    </row>
    <row r="155" spans="1:12" ht="18.75" customHeight="1" x14ac:dyDescent="0.25">
      <c r="A155" s="57" t="s">
        <v>654</v>
      </c>
      <c r="B155" s="53"/>
      <c r="C155" s="58">
        <v>660</v>
      </c>
      <c r="D155" s="53"/>
      <c r="E155" s="9"/>
      <c r="F155" s="53"/>
      <c r="G155" s="59">
        <f t="shared" si="16"/>
        <v>0</v>
      </c>
      <c r="H155" s="53"/>
      <c r="I155" s="53"/>
      <c r="J155" s="53"/>
      <c r="K155" s="29"/>
      <c r="L155" s="29"/>
    </row>
    <row r="156" spans="1:12" ht="18.75" customHeight="1" x14ac:dyDescent="0.25">
      <c r="A156" s="57" t="s">
        <v>655</v>
      </c>
      <c r="B156" s="53"/>
      <c r="C156" s="58">
        <v>748</v>
      </c>
      <c r="D156" s="53"/>
      <c r="E156" s="9"/>
      <c r="F156" s="53"/>
      <c r="G156" s="59">
        <f t="shared" si="16"/>
        <v>0</v>
      </c>
      <c r="H156" s="53"/>
      <c r="I156" s="53"/>
      <c r="J156" s="53"/>
      <c r="K156" s="29"/>
      <c r="L156" s="29"/>
    </row>
    <row r="157" spans="1:12" ht="18.75" customHeight="1" x14ac:dyDescent="0.25">
      <c r="A157" s="57" t="s">
        <v>83</v>
      </c>
      <c r="B157" s="53"/>
      <c r="C157" s="58">
        <v>1360</v>
      </c>
      <c r="D157" s="53"/>
      <c r="E157" s="9"/>
      <c r="F157" s="53"/>
      <c r="G157" s="59">
        <f t="shared" si="16"/>
        <v>0</v>
      </c>
      <c r="H157" s="53"/>
      <c r="I157" s="53"/>
      <c r="J157" s="53"/>
      <c r="K157" s="29"/>
      <c r="L157" s="29"/>
    </row>
    <row r="158" spans="1:12" ht="18.75" customHeight="1" x14ac:dyDescent="0.25">
      <c r="A158" s="57" t="s">
        <v>656</v>
      </c>
      <c r="B158" s="53"/>
      <c r="C158" s="58">
        <v>3865</v>
      </c>
      <c r="D158" s="53"/>
      <c r="E158" s="9"/>
      <c r="F158" s="53"/>
      <c r="G158" s="59">
        <f t="shared" si="16"/>
        <v>0</v>
      </c>
      <c r="H158" s="53"/>
      <c r="I158" s="53"/>
      <c r="J158" s="53"/>
      <c r="K158" s="29"/>
      <c r="L158" s="29"/>
    </row>
    <row r="159" spans="1:12" ht="18.75" customHeight="1" x14ac:dyDescent="0.25">
      <c r="A159" s="57" t="s">
        <v>657</v>
      </c>
      <c r="B159" s="53"/>
      <c r="C159" s="58">
        <v>840</v>
      </c>
      <c r="D159" s="53"/>
      <c r="E159" s="9"/>
      <c r="F159" s="53"/>
      <c r="G159" s="59">
        <f t="shared" si="16"/>
        <v>0</v>
      </c>
      <c r="H159" s="53"/>
      <c r="I159" s="53"/>
      <c r="J159" s="53"/>
      <c r="K159" s="29"/>
      <c r="L159" s="29"/>
    </row>
    <row r="160" spans="1:12" ht="18.75" customHeight="1" x14ac:dyDescent="0.25">
      <c r="A160" s="57" t="s">
        <v>658</v>
      </c>
      <c r="B160" s="53"/>
      <c r="C160" s="58">
        <v>750</v>
      </c>
      <c r="D160" s="53"/>
      <c r="E160" s="9"/>
      <c r="F160" s="53"/>
      <c r="G160" s="59">
        <f t="shared" si="16"/>
        <v>0</v>
      </c>
      <c r="H160" s="53"/>
      <c r="I160" s="53"/>
      <c r="J160" s="53"/>
      <c r="K160" s="29"/>
      <c r="L160" s="29"/>
    </row>
    <row r="161" spans="1:12" ht="18.75" customHeight="1" x14ac:dyDescent="0.25">
      <c r="A161" s="57" t="s">
        <v>162</v>
      </c>
      <c r="B161" s="53"/>
      <c r="C161" s="58">
        <v>648</v>
      </c>
      <c r="D161" s="53"/>
      <c r="E161" s="9"/>
      <c r="F161" s="53"/>
      <c r="G161" s="59">
        <f t="shared" si="16"/>
        <v>0</v>
      </c>
      <c r="H161" s="53"/>
      <c r="I161" s="53"/>
      <c r="J161" s="53"/>
      <c r="K161" s="29"/>
      <c r="L161" s="29"/>
    </row>
    <row r="162" spans="1:12" ht="18.75" customHeight="1" x14ac:dyDescent="0.25">
      <c r="A162" s="57" t="s">
        <v>507</v>
      </c>
      <c r="B162" s="53"/>
      <c r="C162" s="58">
        <v>675</v>
      </c>
      <c r="D162" s="53"/>
      <c r="E162" s="9"/>
      <c r="F162" s="53"/>
      <c r="G162" s="59">
        <f t="shared" si="16"/>
        <v>0</v>
      </c>
      <c r="H162" s="53"/>
      <c r="I162" s="53"/>
      <c r="J162" s="53"/>
      <c r="K162" s="29"/>
      <c r="L162" s="29"/>
    </row>
    <row r="163" spans="1:12" ht="18.75" customHeight="1" x14ac:dyDescent="0.25">
      <c r="A163" s="57" t="s">
        <v>659</v>
      </c>
      <c r="B163" s="53"/>
      <c r="C163" s="58">
        <v>641</v>
      </c>
      <c r="D163" s="53"/>
      <c r="E163" s="9"/>
      <c r="F163" s="53"/>
      <c r="G163" s="59">
        <f t="shared" si="16"/>
        <v>0</v>
      </c>
      <c r="H163" s="53"/>
      <c r="I163" s="53"/>
      <c r="J163" s="53"/>
      <c r="K163" s="29"/>
      <c r="L163" s="29"/>
    </row>
    <row r="164" spans="1:12" ht="18.75" customHeight="1" x14ac:dyDescent="0.25">
      <c r="A164" s="57" t="s">
        <v>164</v>
      </c>
      <c r="B164" s="53"/>
      <c r="C164" s="58">
        <v>853</v>
      </c>
      <c r="D164" s="53"/>
      <c r="E164" s="9"/>
      <c r="F164" s="53"/>
      <c r="G164" s="59">
        <f t="shared" si="16"/>
        <v>0</v>
      </c>
      <c r="H164" s="53"/>
      <c r="I164" s="53"/>
      <c r="J164" s="53"/>
      <c r="K164" s="29"/>
      <c r="L164" s="29"/>
    </row>
    <row r="165" spans="1:12" ht="18.75" customHeight="1" x14ac:dyDescent="0.25">
      <c r="A165" s="57" t="s">
        <v>84</v>
      </c>
      <c r="B165" s="53"/>
      <c r="C165" s="58">
        <v>623</v>
      </c>
      <c r="D165" s="53"/>
      <c r="E165" s="9"/>
      <c r="F165" s="53"/>
      <c r="G165" s="59">
        <f t="shared" si="16"/>
        <v>0</v>
      </c>
      <c r="H165" s="53"/>
      <c r="I165" s="53"/>
      <c r="J165" s="53"/>
      <c r="K165" s="29"/>
      <c r="L165" s="29"/>
    </row>
    <row r="166" spans="1:12" ht="18.75" customHeight="1" x14ac:dyDescent="0.25">
      <c r="A166" s="57" t="s">
        <v>660</v>
      </c>
      <c r="B166" s="53"/>
      <c r="C166" s="58">
        <v>584</v>
      </c>
      <c r="D166" s="53"/>
      <c r="E166" s="9"/>
      <c r="F166" s="53"/>
      <c r="G166" s="59">
        <f t="shared" si="16"/>
        <v>0</v>
      </c>
      <c r="H166" s="53"/>
      <c r="I166" s="53"/>
      <c r="J166" s="53"/>
      <c r="K166" s="29"/>
      <c r="L166" s="29"/>
    </row>
    <row r="167" spans="1:12" ht="18.75" customHeight="1" x14ac:dyDescent="0.25">
      <c r="A167" s="57" t="s">
        <v>85</v>
      </c>
      <c r="B167" s="53"/>
      <c r="C167" s="58">
        <v>3945</v>
      </c>
      <c r="D167" s="53"/>
      <c r="E167" s="9"/>
      <c r="F167" s="53"/>
      <c r="G167" s="59">
        <f t="shared" si="16"/>
        <v>0</v>
      </c>
      <c r="H167" s="53"/>
      <c r="I167" s="53"/>
      <c r="J167" s="53"/>
      <c r="K167" s="29"/>
      <c r="L167" s="29"/>
    </row>
    <row r="168" spans="1:12" ht="18.75" customHeight="1" x14ac:dyDescent="0.25">
      <c r="A168" s="57" t="s">
        <v>661</v>
      </c>
      <c r="B168" s="53"/>
      <c r="C168" s="58">
        <v>837</v>
      </c>
      <c r="D168" s="53"/>
      <c r="E168" s="9"/>
      <c r="F168" s="53"/>
      <c r="G168" s="59">
        <f t="shared" si="16"/>
        <v>0</v>
      </c>
      <c r="H168" s="53"/>
      <c r="I168" s="53"/>
      <c r="J168" s="53"/>
      <c r="K168" s="29"/>
      <c r="L168" s="29"/>
    </row>
    <row r="169" spans="1:12" ht="18.75" customHeight="1" x14ac:dyDescent="0.25">
      <c r="A169" s="57" t="s">
        <v>662</v>
      </c>
      <c r="B169" s="53"/>
      <c r="C169" s="58">
        <v>705</v>
      </c>
      <c r="D169" s="53"/>
      <c r="E169" s="9"/>
      <c r="F169" s="53"/>
      <c r="G169" s="59">
        <f t="shared" si="16"/>
        <v>0</v>
      </c>
      <c r="H169" s="53"/>
      <c r="I169" s="53"/>
      <c r="J169" s="53"/>
      <c r="K169" s="29"/>
      <c r="L169" s="29"/>
    </row>
    <row r="170" spans="1:12" ht="18.75" customHeight="1" x14ac:dyDescent="0.25">
      <c r="A170" s="57" t="s">
        <v>86</v>
      </c>
      <c r="B170" s="53"/>
      <c r="C170" s="58">
        <v>1181</v>
      </c>
      <c r="D170" s="53"/>
      <c r="E170" s="9"/>
      <c r="F170" s="53"/>
      <c r="G170" s="59">
        <f t="shared" si="16"/>
        <v>0</v>
      </c>
      <c r="H170" s="53"/>
      <c r="I170" s="53"/>
      <c r="J170" s="53"/>
      <c r="K170" s="29"/>
      <c r="L170" s="29"/>
    </row>
    <row r="171" spans="1:12" ht="18.75" customHeight="1" x14ac:dyDescent="0.25">
      <c r="A171" s="57" t="s">
        <v>663</v>
      </c>
      <c r="B171" s="53"/>
      <c r="C171" s="58">
        <v>7200</v>
      </c>
      <c r="D171" s="53"/>
      <c r="E171" s="9"/>
      <c r="F171" s="53"/>
      <c r="G171" s="59">
        <f t="shared" si="16"/>
        <v>0</v>
      </c>
      <c r="H171" s="53"/>
      <c r="I171" s="53"/>
      <c r="J171" s="53"/>
      <c r="K171" s="29"/>
      <c r="L171" s="29"/>
    </row>
    <row r="172" spans="1:12" ht="18.75" customHeight="1" x14ac:dyDescent="0.25">
      <c r="A172" s="57" t="s">
        <v>664</v>
      </c>
      <c r="B172" s="53"/>
      <c r="C172" s="58">
        <v>5688</v>
      </c>
      <c r="D172" s="53"/>
      <c r="E172" s="9"/>
      <c r="F172" s="53"/>
      <c r="G172" s="59">
        <f t="shared" si="16"/>
        <v>0</v>
      </c>
      <c r="H172" s="53"/>
      <c r="I172" s="53"/>
      <c r="J172" s="53"/>
      <c r="K172" s="29"/>
      <c r="L172" s="29"/>
    </row>
    <row r="173" spans="1:12" ht="18.75" customHeight="1" x14ac:dyDescent="0.25">
      <c r="A173" s="57" t="s">
        <v>665</v>
      </c>
      <c r="B173" s="53"/>
      <c r="C173" s="58">
        <v>505</v>
      </c>
      <c r="D173" s="53"/>
      <c r="E173" s="9"/>
      <c r="F173" s="53"/>
      <c r="G173" s="59">
        <f t="shared" si="16"/>
        <v>0</v>
      </c>
      <c r="H173" s="53"/>
      <c r="I173" s="53"/>
      <c r="J173" s="53"/>
      <c r="K173" s="29"/>
      <c r="L173" s="29"/>
    </row>
    <row r="174" spans="1:12" ht="18.75" customHeight="1" x14ac:dyDescent="0.25">
      <c r="A174" s="57" t="s">
        <v>666</v>
      </c>
      <c r="B174" s="53"/>
      <c r="C174" s="58">
        <v>45390</v>
      </c>
      <c r="D174" s="53"/>
      <c r="E174" s="9"/>
      <c r="F174" s="53"/>
      <c r="G174" s="59">
        <f t="shared" si="16"/>
        <v>0</v>
      </c>
      <c r="H174" s="53"/>
      <c r="I174" s="53"/>
      <c r="J174" s="53"/>
      <c r="K174" s="29"/>
      <c r="L174" s="29"/>
    </row>
    <row r="175" spans="1:12" ht="18.75" customHeight="1" x14ac:dyDescent="0.25">
      <c r="A175" s="57" t="s">
        <v>88</v>
      </c>
      <c r="B175" s="53"/>
      <c r="C175" s="58">
        <v>1581</v>
      </c>
      <c r="D175" s="53"/>
      <c r="E175" s="9"/>
      <c r="F175" s="53"/>
      <c r="G175" s="59">
        <f t="shared" si="16"/>
        <v>0</v>
      </c>
      <c r="H175" s="53"/>
      <c r="I175" s="53"/>
      <c r="J175" s="53"/>
      <c r="K175" s="29"/>
      <c r="L175" s="29"/>
    </row>
    <row r="176" spans="1:12" ht="18.75" customHeight="1" x14ac:dyDescent="0.25">
      <c r="A176" s="57" t="s">
        <v>667</v>
      </c>
      <c r="B176" s="53"/>
      <c r="C176" s="58">
        <v>11825</v>
      </c>
      <c r="D176" s="53"/>
      <c r="E176" s="9"/>
      <c r="F176" s="53"/>
      <c r="G176" s="59">
        <f t="shared" si="16"/>
        <v>0</v>
      </c>
      <c r="H176" s="53"/>
      <c r="I176" s="53"/>
      <c r="J176" s="53"/>
      <c r="K176" s="29"/>
      <c r="L176" s="29"/>
    </row>
    <row r="177" spans="1:12" ht="18.75" customHeight="1" x14ac:dyDescent="0.25">
      <c r="A177" s="57" t="s">
        <v>508</v>
      </c>
      <c r="B177" s="53"/>
      <c r="C177" s="58">
        <v>1517</v>
      </c>
      <c r="D177" s="53"/>
      <c r="E177" s="9"/>
      <c r="F177" s="53"/>
      <c r="G177" s="59">
        <f t="shared" si="16"/>
        <v>0</v>
      </c>
      <c r="H177" s="53"/>
      <c r="I177" s="53"/>
      <c r="J177" s="53"/>
      <c r="K177" s="29"/>
      <c r="L177" s="29"/>
    </row>
    <row r="178" spans="1:12" ht="18.75" customHeight="1" x14ac:dyDescent="0.25">
      <c r="A178" s="57" t="s">
        <v>450</v>
      </c>
      <c r="B178" s="53"/>
      <c r="C178" s="58">
        <v>720</v>
      </c>
      <c r="D178" s="53"/>
      <c r="E178" s="9"/>
      <c r="F178" s="53"/>
      <c r="G178" s="59">
        <f t="shared" si="16"/>
        <v>0</v>
      </c>
      <c r="H178" s="53"/>
      <c r="I178" s="53"/>
      <c r="J178" s="53"/>
      <c r="K178" s="29"/>
      <c r="L178" s="29"/>
    </row>
    <row r="179" spans="1:12" ht="18.75" customHeight="1" x14ac:dyDescent="0.25">
      <c r="A179" s="57" t="s">
        <v>668</v>
      </c>
      <c r="B179" s="53"/>
      <c r="C179" s="58">
        <v>728</v>
      </c>
      <c r="D179" s="53"/>
      <c r="E179" s="9"/>
      <c r="F179" s="53"/>
      <c r="G179" s="59">
        <f t="shared" si="16"/>
        <v>0</v>
      </c>
      <c r="H179" s="53"/>
      <c r="I179" s="53"/>
      <c r="J179" s="53"/>
      <c r="K179" s="29"/>
      <c r="L179" s="29"/>
    </row>
    <row r="180" spans="1:12" ht="18.75" customHeight="1" x14ac:dyDescent="0.25">
      <c r="A180" s="57" t="s">
        <v>669</v>
      </c>
      <c r="B180" s="53"/>
      <c r="C180" s="58">
        <v>610</v>
      </c>
      <c r="D180" s="53"/>
      <c r="E180" s="9"/>
      <c r="F180" s="53"/>
      <c r="G180" s="59">
        <f t="shared" si="16"/>
        <v>0</v>
      </c>
      <c r="H180" s="53"/>
      <c r="I180" s="53"/>
      <c r="J180" s="53"/>
      <c r="K180" s="29"/>
      <c r="L180" s="29"/>
    </row>
    <row r="181" spans="1:12" ht="18.75" customHeight="1" x14ac:dyDescent="0.25">
      <c r="A181" s="57" t="s">
        <v>509</v>
      </c>
      <c r="B181" s="53"/>
      <c r="C181" s="58">
        <v>2296</v>
      </c>
      <c r="D181" s="53"/>
      <c r="E181" s="9"/>
      <c r="F181" s="53"/>
      <c r="G181" s="59">
        <f t="shared" si="16"/>
        <v>0</v>
      </c>
      <c r="H181" s="53"/>
      <c r="I181" s="53"/>
      <c r="J181" s="53"/>
      <c r="K181" s="29"/>
      <c r="L181" s="29"/>
    </row>
    <row r="182" spans="1:12" ht="18.75" customHeight="1" x14ac:dyDescent="0.25">
      <c r="A182" s="57" t="s">
        <v>488</v>
      </c>
      <c r="B182" s="53"/>
      <c r="C182" s="58">
        <v>846</v>
      </c>
      <c r="D182" s="53"/>
      <c r="E182" s="9"/>
      <c r="F182" s="53"/>
      <c r="G182" s="59">
        <f t="shared" si="16"/>
        <v>0</v>
      </c>
      <c r="H182" s="53"/>
      <c r="I182" s="53"/>
      <c r="J182" s="53"/>
      <c r="K182" s="29"/>
      <c r="L182" s="29"/>
    </row>
    <row r="183" spans="1:12" ht="18.75" customHeight="1" x14ac:dyDescent="0.25">
      <c r="A183" s="57" t="s">
        <v>510</v>
      </c>
      <c r="B183" s="53"/>
      <c r="C183" s="58">
        <v>534</v>
      </c>
      <c r="D183" s="53"/>
      <c r="E183" s="9"/>
      <c r="F183" s="53"/>
      <c r="G183" s="59">
        <f t="shared" si="16"/>
        <v>0</v>
      </c>
      <c r="H183" s="53"/>
      <c r="I183" s="53"/>
      <c r="J183" s="53"/>
      <c r="K183" s="29"/>
      <c r="L183" s="29"/>
    </row>
    <row r="184" spans="1:12" ht="18.75" customHeight="1" x14ac:dyDescent="0.25">
      <c r="A184" s="57" t="s">
        <v>453</v>
      </c>
      <c r="B184" s="53"/>
      <c r="C184" s="58">
        <v>660</v>
      </c>
      <c r="D184" s="53"/>
      <c r="E184" s="9"/>
      <c r="F184" s="53"/>
      <c r="G184" s="59">
        <f t="shared" si="16"/>
        <v>0</v>
      </c>
      <c r="H184" s="53"/>
      <c r="I184" s="53"/>
      <c r="J184" s="53"/>
      <c r="K184" s="29"/>
      <c r="L184" s="29"/>
    </row>
    <row r="185" spans="1:12" ht="18.75" customHeight="1" x14ac:dyDescent="0.25">
      <c r="A185" s="57" t="s">
        <v>454</v>
      </c>
      <c r="B185" s="53"/>
      <c r="C185" s="58">
        <v>890</v>
      </c>
      <c r="D185" s="53"/>
      <c r="E185" s="9"/>
      <c r="F185" s="53"/>
      <c r="G185" s="59">
        <f t="shared" si="16"/>
        <v>0</v>
      </c>
      <c r="H185" s="53"/>
      <c r="I185" s="53"/>
      <c r="J185" s="53"/>
      <c r="K185" s="29"/>
      <c r="L185" s="29"/>
    </row>
    <row r="186" spans="1:12" ht="18.75" customHeight="1" x14ac:dyDescent="0.25">
      <c r="A186" s="57" t="s">
        <v>670</v>
      </c>
      <c r="B186" s="53"/>
      <c r="C186" s="58">
        <v>26754</v>
      </c>
      <c r="D186" s="53"/>
      <c r="E186" s="9"/>
      <c r="F186" s="53"/>
      <c r="G186" s="59">
        <f t="shared" si="16"/>
        <v>0</v>
      </c>
      <c r="H186" s="53"/>
      <c r="I186" s="53"/>
      <c r="J186" s="53"/>
      <c r="K186" s="29"/>
      <c r="L186" s="29"/>
    </row>
    <row r="187" spans="1:12" ht="18.75" customHeight="1" x14ac:dyDescent="0.25">
      <c r="A187" s="57" t="s">
        <v>93</v>
      </c>
      <c r="B187" s="53"/>
      <c r="C187" s="58">
        <v>7521</v>
      </c>
      <c r="D187" s="53"/>
      <c r="E187" s="9"/>
      <c r="F187" s="53"/>
      <c r="G187" s="59">
        <f t="shared" si="16"/>
        <v>0</v>
      </c>
      <c r="H187" s="53"/>
      <c r="I187" s="53"/>
      <c r="J187" s="53"/>
      <c r="K187" s="29"/>
      <c r="L187" s="29"/>
    </row>
    <row r="188" spans="1:12" ht="18.75" customHeight="1" x14ac:dyDescent="0.25">
      <c r="A188" s="57" t="s">
        <v>94</v>
      </c>
      <c r="B188" s="53"/>
      <c r="C188" s="58">
        <v>3295</v>
      </c>
      <c r="D188" s="53"/>
      <c r="E188" s="9"/>
      <c r="F188" s="53"/>
      <c r="G188" s="59">
        <f t="shared" si="16"/>
        <v>0</v>
      </c>
      <c r="H188" s="53"/>
      <c r="I188" s="53"/>
      <c r="J188" s="53"/>
      <c r="K188" s="29"/>
      <c r="L188" s="29"/>
    </row>
    <row r="189" spans="1:12" ht="18.75" customHeight="1" x14ac:dyDescent="0.25">
      <c r="A189" s="57" t="s">
        <v>99</v>
      </c>
      <c r="B189" s="53"/>
      <c r="C189" s="58">
        <v>890</v>
      </c>
      <c r="D189" s="53"/>
      <c r="E189" s="9"/>
      <c r="F189" s="53"/>
      <c r="G189" s="59">
        <f t="shared" si="16"/>
        <v>0</v>
      </c>
      <c r="H189" s="53"/>
      <c r="I189" s="53"/>
      <c r="J189" s="53"/>
      <c r="K189" s="29"/>
      <c r="L189" s="29"/>
    </row>
    <row r="190" spans="1:12" ht="18.75" customHeight="1" x14ac:dyDescent="0.25">
      <c r="A190" s="57" t="s">
        <v>671</v>
      </c>
      <c r="B190" s="53"/>
      <c r="C190" s="58">
        <v>7225</v>
      </c>
      <c r="D190" s="53"/>
      <c r="E190" s="9"/>
      <c r="F190" s="53"/>
      <c r="G190" s="59">
        <f t="shared" si="16"/>
        <v>0</v>
      </c>
      <c r="H190" s="53"/>
      <c r="I190" s="53"/>
      <c r="J190" s="53"/>
      <c r="K190" s="29"/>
      <c r="L190" s="29"/>
    </row>
    <row r="191" spans="1:12" ht="18.75" customHeight="1" x14ac:dyDescent="0.25">
      <c r="A191" s="57" t="s">
        <v>173</v>
      </c>
      <c r="B191" s="53"/>
      <c r="C191" s="58">
        <v>985</v>
      </c>
      <c r="D191" s="53"/>
      <c r="E191" s="9"/>
      <c r="F191" s="53"/>
      <c r="G191" s="59">
        <f t="shared" si="16"/>
        <v>0</v>
      </c>
      <c r="H191" s="53"/>
      <c r="I191" s="53"/>
      <c r="J191" s="53"/>
      <c r="K191" s="29"/>
      <c r="L191" s="29"/>
    </row>
    <row r="192" spans="1:12" ht="18.75" customHeight="1" x14ac:dyDescent="0.25">
      <c r="A192" s="57" t="s">
        <v>103</v>
      </c>
      <c r="B192" s="53"/>
      <c r="C192" s="58">
        <v>4407</v>
      </c>
      <c r="D192" s="53"/>
      <c r="E192" s="9"/>
      <c r="F192" s="53"/>
      <c r="G192" s="59">
        <f t="shared" si="16"/>
        <v>0</v>
      </c>
      <c r="H192" s="53"/>
      <c r="I192" s="53"/>
      <c r="J192" s="53"/>
      <c r="K192" s="29"/>
      <c r="L192" s="29"/>
    </row>
    <row r="193" spans="1:12" ht="18.75" customHeight="1" x14ac:dyDescent="0.25">
      <c r="A193" s="57" t="s">
        <v>104</v>
      </c>
      <c r="B193" s="53"/>
      <c r="C193" s="58">
        <v>2151</v>
      </c>
      <c r="D193" s="53"/>
      <c r="E193" s="9"/>
      <c r="F193" s="53"/>
      <c r="G193" s="59">
        <f t="shared" si="16"/>
        <v>0</v>
      </c>
      <c r="H193" s="53"/>
      <c r="I193" s="53"/>
      <c r="J193" s="53"/>
      <c r="K193" s="29"/>
      <c r="L193" s="29"/>
    </row>
    <row r="194" spans="1:12" ht="18.75" customHeight="1" x14ac:dyDescent="0.25">
      <c r="A194" s="57" t="s">
        <v>105</v>
      </c>
      <c r="B194" s="53"/>
      <c r="C194" s="58">
        <v>1622</v>
      </c>
      <c r="D194" s="53"/>
      <c r="E194" s="9"/>
      <c r="F194" s="53"/>
      <c r="G194" s="59">
        <f t="shared" si="16"/>
        <v>0</v>
      </c>
      <c r="H194" s="53"/>
      <c r="I194" s="53"/>
      <c r="J194" s="53"/>
      <c r="K194" s="29"/>
      <c r="L194" s="29"/>
    </row>
    <row r="195" spans="1:12" ht="18.75" customHeight="1" x14ac:dyDescent="0.25">
      <c r="A195" s="57" t="s">
        <v>511</v>
      </c>
      <c r="B195" s="53"/>
      <c r="C195" s="58">
        <v>736</v>
      </c>
      <c r="D195" s="53"/>
      <c r="E195" s="9"/>
      <c r="F195" s="53"/>
      <c r="G195" s="59">
        <f t="shared" si="16"/>
        <v>0</v>
      </c>
      <c r="H195" s="53"/>
      <c r="I195" s="53"/>
      <c r="J195" s="53"/>
      <c r="K195" s="29"/>
      <c r="L195" s="29"/>
    </row>
    <row r="196" spans="1:12" ht="18.75" customHeight="1" x14ac:dyDescent="0.25">
      <c r="A196" s="57" t="s">
        <v>512</v>
      </c>
      <c r="B196" s="53"/>
      <c r="C196" s="58">
        <v>1111</v>
      </c>
      <c r="D196" s="53"/>
      <c r="E196" s="9"/>
      <c r="F196" s="53"/>
      <c r="G196" s="59">
        <f t="shared" si="16"/>
        <v>0</v>
      </c>
      <c r="H196" s="53"/>
      <c r="I196" s="53"/>
      <c r="J196" s="53"/>
      <c r="K196" s="29"/>
      <c r="L196" s="29"/>
    </row>
    <row r="197" spans="1:12" ht="18.75" customHeight="1" x14ac:dyDescent="0.25">
      <c r="A197" s="57" t="s">
        <v>672</v>
      </c>
      <c r="B197" s="53"/>
      <c r="C197" s="58">
        <v>1773</v>
      </c>
      <c r="D197" s="53"/>
      <c r="E197" s="9"/>
      <c r="F197" s="53"/>
      <c r="G197" s="59">
        <f t="shared" si="16"/>
        <v>0</v>
      </c>
      <c r="H197" s="53"/>
      <c r="I197" s="53"/>
      <c r="J197" s="53"/>
      <c r="K197" s="29"/>
      <c r="L197" s="29"/>
    </row>
    <row r="198" spans="1:12" ht="18.75" customHeight="1" x14ac:dyDescent="0.25">
      <c r="A198" s="57" t="s">
        <v>673</v>
      </c>
      <c r="B198" s="53"/>
      <c r="C198" s="58">
        <v>1473</v>
      </c>
      <c r="D198" s="53"/>
      <c r="E198" s="9"/>
      <c r="F198" s="53"/>
      <c r="G198" s="59">
        <f t="shared" si="16"/>
        <v>0</v>
      </c>
      <c r="H198" s="53"/>
      <c r="I198" s="53"/>
      <c r="J198" s="53"/>
      <c r="K198" s="29"/>
      <c r="L198" s="29"/>
    </row>
    <row r="199" spans="1:12" ht="18.75" customHeight="1" x14ac:dyDescent="0.25">
      <c r="A199" s="57" t="s">
        <v>674</v>
      </c>
      <c r="B199" s="53"/>
      <c r="C199" s="58">
        <v>4784</v>
      </c>
      <c r="D199" s="53"/>
      <c r="E199" s="9"/>
      <c r="F199" s="53"/>
      <c r="G199" s="59">
        <f t="shared" si="16"/>
        <v>0</v>
      </c>
      <c r="H199" s="53"/>
      <c r="I199" s="53"/>
      <c r="J199" s="53"/>
      <c r="K199" s="29"/>
      <c r="L199" s="29"/>
    </row>
    <row r="200" spans="1:12" ht="18.75" customHeight="1" x14ac:dyDescent="0.25">
      <c r="A200" s="57" t="s">
        <v>675</v>
      </c>
      <c r="B200" s="53"/>
      <c r="C200" s="58">
        <v>1506</v>
      </c>
      <c r="D200" s="53"/>
      <c r="E200" s="9"/>
      <c r="F200" s="53"/>
      <c r="G200" s="59">
        <f t="shared" si="16"/>
        <v>0</v>
      </c>
      <c r="H200" s="53"/>
      <c r="I200" s="53"/>
      <c r="J200" s="53"/>
      <c r="K200" s="29"/>
      <c r="L200" s="29"/>
    </row>
    <row r="201" spans="1:12" ht="18.75" customHeight="1" x14ac:dyDescent="0.25">
      <c r="A201" s="57" t="s">
        <v>676</v>
      </c>
      <c r="B201" s="53"/>
      <c r="C201" s="58">
        <v>630</v>
      </c>
      <c r="D201" s="53"/>
      <c r="E201" s="9"/>
      <c r="F201" s="53"/>
      <c r="G201" s="59">
        <f t="shared" si="16"/>
        <v>0</v>
      </c>
      <c r="H201" s="53"/>
      <c r="I201" s="53"/>
      <c r="J201" s="53"/>
      <c r="K201" s="29"/>
      <c r="L201" s="29"/>
    </row>
    <row r="202" spans="1:12" ht="18.75" customHeight="1" x14ac:dyDescent="0.25">
      <c r="A202" s="57" t="s">
        <v>677</v>
      </c>
      <c r="B202" s="53"/>
      <c r="C202" s="58">
        <v>5365</v>
      </c>
      <c r="D202" s="53"/>
      <c r="E202" s="9"/>
      <c r="F202" s="53"/>
      <c r="G202" s="59">
        <f t="shared" si="16"/>
        <v>0</v>
      </c>
      <c r="H202" s="53"/>
      <c r="I202" s="53"/>
      <c r="J202" s="53"/>
      <c r="K202" s="29"/>
      <c r="L202" s="29"/>
    </row>
    <row r="203" spans="1:12" ht="18.75" customHeight="1" x14ac:dyDescent="0.25">
      <c r="A203" s="57" t="s">
        <v>678</v>
      </c>
      <c r="B203" s="53"/>
      <c r="C203" s="58">
        <v>656</v>
      </c>
      <c r="D203" s="53"/>
      <c r="E203" s="9"/>
      <c r="F203" s="53"/>
      <c r="G203" s="59">
        <f t="shared" si="16"/>
        <v>0</v>
      </c>
      <c r="H203" s="53"/>
      <c r="I203" s="53"/>
      <c r="J203" s="53"/>
      <c r="K203" s="29"/>
      <c r="L203" s="29"/>
    </row>
    <row r="204" spans="1:12" ht="18.75" customHeight="1" x14ac:dyDescent="0.25">
      <c r="A204" s="57" t="s">
        <v>679</v>
      </c>
      <c r="B204" s="53"/>
      <c r="C204" s="58">
        <v>28570</v>
      </c>
      <c r="D204" s="53"/>
      <c r="E204" s="9"/>
      <c r="F204" s="53"/>
      <c r="G204" s="59">
        <f t="shared" si="16"/>
        <v>0</v>
      </c>
      <c r="H204" s="53"/>
      <c r="I204" s="53"/>
      <c r="J204" s="53"/>
      <c r="K204" s="29"/>
      <c r="L204" s="29"/>
    </row>
    <row r="205" spans="1:12" ht="18.75" customHeight="1" x14ac:dyDescent="0.25">
      <c r="A205" s="57" t="s">
        <v>107</v>
      </c>
      <c r="B205" s="53"/>
      <c r="C205" s="58">
        <v>3999</v>
      </c>
      <c r="D205" s="53"/>
      <c r="E205" s="9"/>
      <c r="F205" s="53"/>
      <c r="G205" s="59">
        <f t="shared" si="16"/>
        <v>0</v>
      </c>
      <c r="H205" s="53"/>
      <c r="I205" s="53"/>
      <c r="J205" s="53"/>
      <c r="K205" s="29"/>
      <c r="L205" s="29"/>
    </row>
    <row r="206" spans="1:12" ht="18.75" customHeight="1" x14ac:dyDescent="0.25">
      <c r="A206" s="57" t="s">
        <v>461</v>
      </c>
      <c r="B206" s="53"/>
      <c r="C206" s="58">
        <v>859</v>
      </c>
      <c r="D206" s="53"/>
      <c r="E206" s="9"/>
      <c r="F206" s="53"/>
      <c r="G206" s="59">
        <f t="shared" si="16"/>
        <v>0</v>
      </c>
      <c r="H206" s="53"/>
      <c r="I206" s="53"/>
      <c r="J206" s="53"/>
      <c r="K206" s="29"/>
      <c r="L206" s="29"/>
    </row>
    <row r="207" spans="1:12" ht="18.75" customHeight="1" x14ac:dyDescent="0.25">
      <c r="A207" s="57" t="s">
        <v>175</v>
      </c>
      <c r="B207" s="53"/>
      <c r="C207" s="58">
        <v>686</v>
      </c>
      <c r="D207" s="53"/>
      <c r="E207" s="9"/>
      <c r="F207" s="53"/>
      <c r="G207" s="59">
        <f t="shared" si="16"/>
        <v>0</v>
      </c>
      <c r="H207" s="53"/>
      <c r="I207" s="53"/>
      <c r="J207" s="53"/>
      <c r="K207" s="29"/>
      <c r="L207" s="29"/>
    </row>
    <row r="208" spans="1:12" ht="18.75" customHeight="1" x14ac:dyDescent="0.25">
      <c r="A208" s="57" t="s">
        <v>108</v>
      </c>
      <c r="B208" s="53"/>
      <c r="C208" s="58">
        <v>1185</v>
      </c>
      <c r="D208" s="53"/>
      <c r="E208" s="9"/>
      <c r="F208" s="53"/>
      <c r="G208" s="59">
        <f t="shared" si="16"/>
        <v>0</v>
      </c>
      <c r="H208" s="53"/>
      <c r="I208" s="53"/>
      <c r="J208" s="53"/>
      <c r="K208" s="29"/>
      <c r="L208" s="29"/>
    </row>
    <row r="209" spans="1:12" ht="18.75" customHeight="1" x14ac:dyDescent="0.25">
      <c r="A209" s="57" t="s">
        <v>109</v>
      </c>
      <c r="B209" s="53"/>
      <c r="C209" s="58">
        <v>695</v>
      </c>
      <c r="D209" s="53"/>
      <c r="E209" s="9"/>
      <c r="F209" s="53"/>
      <c r="G209" s="59">
        <f t="shared" si="16"/>
        <v>0</v>
      </c>
      <c r="H209" s="53"/>
      <c r="I209" s="53"/>
      <c r="J209" s="53"/>
      <c r="K209" s="29"/>
      <c r="L209" s="29"/>
    </row>
    <row r="210" spans="1:12" ht="18.75" customHeight="1" x14ac:dyDescent="0.25">
      <c r="A210" s="57" t="s">
        <v>680</v>
      </c>
      <c r="B210" s="53"/>
      <c r="C210" s="58">
        <v>64801</v>
      </c>
      <c r="D210" s="53"/>
      <c r="E210" s="9"/>
      <c r="F210" s="53"/>
      <c r="G210" s="59">
        <f t="shared" si="16"/>
        <v>0</v>
      </c>
      <c r="H210" s="53"/>
      <c r="I210" s="53"/>
      <c r="J210" s="53"/>
      <c r="K210" s="29"/>
      <c r="L210" s="29"/>
    </row>
    <row r="211" spans="1:12" ht="18.75" customHeight="1" x14ac:dyDescent="0.25">
      <c r="A211" s="57" t="s">
        <v>681</v>
      </c>
      <c r="B211" s="53"/>
      <c r="C211" s="58">
        <v>788</v>
      </c>
      <c r="D211" s="53"/>
      <c r="E211" s="9"/>
      <c r="F211" s="53"/>
      <c r="G211" s="59">
        <f t="shared" si="16"/>
        <v>0</v>
      </c>
      <c r="H211" s="53"/>
      <c r="I211" s="53"/>
      <c r="J211" s="53"/>
      <c r="K211" s="29"/>
      <c r="L211" s="29"/>
    </row>
    <row r="212" spans="1:12" ht="18.75" customHeight="1" x14ac:dyDescent="0.25">
      <c r="A212" s="57" t="s">
        <v>682</v>
      </c>
      <c r="B212" s="53"/>
      <c r="C212" s="58">
        <v>750</v>
      </c>
      <c r="D212" s="53"/>
      <c r="E212" s="9"/>
      <c r="F212" s="53"/>
      <c r="G212" s="59">
        <f t="shared" si="16"/>
        <v>0</v>
      </c>
      <c r="H212" s="53"/>
      <c r="I212" s="53"/>
      <c r="J212" s="53"/>
      <c r="K212" s="29"/>
      <c r="L212" s="29"/>
    </row>
    <row r="213" spans="1:12" ht="18.75" customHeight="1" x14ac:dyDescent="0.25">
      <c r="A213" s="57" t="s">
        <v>683</v>
      </c>
      <c r="B213" s="53"/>
      <c r="C213" s="58">
        <v>2080</v>
      </c>
      <c r="D213" s="53"/>
      <c r="E213" s="9"/>
      <c r="F213" s="53"/>
      <c r="G213" s="59">
        <f t="shared" si="16"/>
        <v>0</v>
      </c>
      <c r="H213" s="53"/>
      <c r="I213" s="53"/>
      <c r="J213" s="53"/>
      <c r="K213" s="29"/>
      <c r="L213" s="29"/>
    </row>
    <row r="214" spans="1:12" ht="18.75" customHeight="1" x14ac:dyDescent="0.25">
      <c r="A214" s="57" t="s">
        <v>684</v>
      </c>
      <c r="B214" s="53"/>
      <c r="C214" s="58">
        <v>743</v>
      </c>
      <c r="D214" s="53"/>
      <c r="E214" s="9"/>
      <c r="F214" s="53"/>
      <c r="G214" s="59">
        <f t="shared" si="16"/>
        <v>0</v>
      </c>
      <c r="H214" s="53"/>
      <c r="I214" s="53"/>
      <c r="J214" s="53"/>
      <c r="K214" s="29"/>
      <c r="L214" s="29"/>
    </row>
    <row r="215" spans="1:12" ht="18.75" customHeight="1" x14ac:dyDescent="0.25">
      <c r="A215" s="57" t="s">
        <v>176</v>
      </c>
      <c r="B215" s="53"/>
      <c r="C215" s="58">
        <v>2842</v>
      </c>
      <c r="D215" s="53"/>
      <c r="E215" s="9"/>
      <c r="F215" s="53"/>
      <c r="G215" s="59">
        <f t="shared" si="16"/>
        <v>0</v>
      </c>
      <c r="H215" s="53"/>
      <c r="I215" s="53"/>
      <c r="J215" s="53"/>
      <c r="K215" s="29"/>
      <c r="L215" s="29"/>
    </row>
    <row r="216" spans="1:12" ht="18.75" customHeight="1" x14ac:dyDescent="0.25">
      <c r="A216" s="57" t="s">
        <v>110</v>
      </c>
      <c r="B216" s="53"/>
      <c r="C216" s="58">
        <v>1379</v>
      </c>
      <c r="D216" s="53"/>
      <c r="E216" s="9"/>
      <c r="F216" s="53"/>
      <c r="G216" s="59">
        <f t="shared" si="16"/>
        <v>0</v>
      </c>
      <c r="H216" s="53"/>
      <c r="I216" s="53"/>
      <c r="J216" s="53"/>
      <c r="K216" s="29"/>
      <c r="L216" s="29"/>
    </row>
    <row r="217" spans="1:12" ht="18.75" customHeight="1" x14ac:dyDescent="0.25">
      <c r="A217" s="57" t="s">
        <v>111</v>
      </c>
      <c r="B217" s="53"/>
      <c r="C217" s="58">
        <v>1406</v>
      </c>
      <c r="D217" s="53"/>
      <c r="E217" s="9"/>
      <c r="F217" s="53"/>
      <c r="G217" s="59">
        <f t="shared" si="16"/>
        <v>0</v>
      </c>
      <c r="H217" s="53"/>
      <c r="I217" s="53"/>
      <c r="J217" s="53"/>
      <c r="K217" s="29"/>
      <c r="L217" s="29"/>
    </row>
    <row r="218" spans="1:12" ht="18.75" customHeight="1" x14ac:dyDescent="0.25">
      <c r="A218" s="57" t="s">
        <v>112</v>
      </c>
      <c r="B218" s="53"/>
      <c r="C218" s="58">
        <v>1438</v>
      </c>
      <c r="D218" s="53"/>
      <c r="E218" s="9"/>
      <c r="F218" s="53"/>
      <c r="G218" s="59">
        <f t="shared" si="16"/>
        <v>0</v>
      </c>
      <c r="H218" s="53"/>
      <c r="I218" s="53"/>
      <c r="J218" s="53"/>
      <c r="K218" s="29"/>
      <c r="L218" s="29"/>
    </row>
    <row r="219" spans="1:12" ht="18.75" customHeight="1" x14ac:dyDescent="0.25">
      <c r="A219" s="57" t="s">
        <v>685</v>
      </c>
      <c r="B219" s="53"/>
      <c r="C219" s="58">
        <v>895</v>
      </c>
      <c r="D219" s="53"/>
      <c r="E219" s="9"/>
      <c r="F219" s="53"/>
      <c r="G219" s="59">
        <f t="shared" ref="G219:G220" si="17">C219*E219</f>
        <v>0</v>
      </c>
      <c r="H219" s="53"/>
      <c r="I219" s="53"/>
      <c r="J219" s="53"/>
      <c r="K219" s="29"/>
      <c r="L219" s="29"/>
    </row>
    <row r="220" spans="1:12" ht="18.75" customHeight="1" x14ac:dyDescent="0.25">
      <c r="A220" s="57" t="s">
        <v>686</v>
      </c>
      <c r="B220" s="53"/>
      <c r="C220" s="58">
        <v>560</v>
      </c>
      <c r="D220" s="53"/>
      <c r="E220" s="9"/>
      <c r="F220" s="53"/>
      <c r="G220" s="59">
        <f t="shared" si="17"/>
        <v>0</v>
      </c>
      <c r="H220" s="53"/>
      <c r="I220" s="53"/>
      <c r="J220" s="53"/>
      <c r="K220" s="29"/>
      <c r="L220" s="29"/>
    </row>
    <row r="221" spans="1:12" x14ac:dyDescent="0.25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29"/>
      <c r="L221" s="29"/>
    </row>
    <row r="222" spans="1:12" ht="15.75" x14ac:dyDescent="0.25">
      <c r="A222" s="109" t="s">
        <v>513</v>
      </c>
      <c r="B222" s="109"/>
      <c r="C222" s="109"/>
      <c r="D222" s="109"/>
      <c r="E222" s="109"/>
      <c r="F222" s="53"/>
      <c r="G222" s="61">
        <f>SUM(G11:G220)</f>
        <v>0</v>
      </c>
      <c r="H222" s="53" t="s">
        <v>693</v>
      </c>
      <c r="I222" s="53"/>
      <c r="J222" s="53"/>
      <c r="K222" s="29"/>
      <c r="L222" s="29"/>
    </row>
    <row r="223" spans="1:12" ht="15.75" x14ac:dyDescent="0.25">
      <c r="A223" s="62" t="s">
        <v>689</v>
      </c>
      <c r="B223" s="62"/>
      <c r="C223" s="5"/>
      <c r="D223" s="62"/>
      <c r="E223" s="62" t="s">
        <v>690</v>
      </c>
      <c r="F223" s="53"/>
      <c r="G223" s="63">
        <f>C223*12</f>
        <v>0</v>
      </c>
      <c r="H223" s="53" t="s">
        <v>694</v>
      </c>
      <c r="I223" s="53"/>
      <c r="J223" s="53"/>
      <c r="K223" s="29"/>
      <c r="L223" s="29"/>
    </row>
    <row r="224" spans="1:12" x14ac:dyDescent="0.25">
      <c r="A224" s="53"/>
      <c r="B224" s="53"/>
      <c r="C224" s="53"/>
      <c r="D224" s="53"/>
      <c r="E224" s="53"/>
      <c r="F224" s="53"/>
      <c r="G224" s="53"/>
      <c r="H224" s="53" t="s">
        <v>691</v>
      </c>
      <c r="I224" s="53"/>
      <c r="J224" s="53"/>
      <c r="K224" s="29"/>
      <c r="L224" s="29"/>
    </row>
    <row r="225" spans="1:12" x14ac:dyDescent="0.25">
      <c r="A225" s="67" t="s">
        <v>696</v>
      </c>
      <c r="B225" s="53"/>
      <c r="C225" s="53"/>
      <c r="D225" s="53"/>
      <c r="E225" s="53"/>
      <c r="F225" s="53"/>
      <c r="G225" s="64">
        <f>G222+G223</f>
        <v>0</v>
      </c>
      <c r="H225" s="53" t="s">
        <v>695</v>
      </c>
      <c r="I225" s="53"/>
      <c r="J225" s="53"/>
      <c r="K225" s="29"/>
      <c r="L225" s="29"/>
    </row>
    <row r="226" spans="1:12" x14ac:dyDescent="0.25">
      <c r="A226" s="67"/>
      <c r="B226" s="53"/>
      <c r="C226" s="53"/>
      <c r="D226" s="53"/>
      <c r="E226" s="53"/>
      <c r="F226" s="53"/>
      <c r="G226" s="65"/>
      <c r="H226" s="53"/>
      <c r="I226" s="53"/>
      <c r="J226" s="53"/>
      <c r="K226" s="29"/>
      <c r="L226" s="29"/>
    </row>
    <row r="227" spans="1:12" ht="15.75" thickBot="1" x14ac:dyDescent="0.3">
      <c r="A227" s="67" t="s">
        <v>697</v>
      </c>
      <c r="B227" s="53"/>
      <c r="C227" s="53"/>
      <c r="D227" s="53"/>
      <c r="E227" s="53"/>
      <c r="F227" s="53"/>
      <c r="G227" s="66">
        <f>G225*5</f>
        <v>0</v>
      </c>
      <c r="H227" s="53"/>
      <c r="I227" s="53"/>
      <c r="J227" s="53"/>
      <c r="K227" s="29"/>
      <c r="L227" s="29"/>
    </row>
    <row r="228" spans="1:12" x14ac:dyDescent="0.25">
      <c r="A228" s="67"/>
      <c r="B228" s="53"/>
      <c r="C228" s="53"/>
      <c r="D228" s="53"/>
      <c r="E228" s="53"/>
      <c r="F228" s="53"/>
      <c r="G228" s="65" t="s">
        <v>692</v>
      </c>
      <c r="H228" s="53"/>
      <c r="I228" s="53"/>
      <c r="J228" s="53"/>
      <c r="K228" s="29"/>
      <c r="L228" s="29"/>
    </row>
    <row r="229" spans="1:12" x14ac:dyDescent="0.25">
      <c r="A229" s="67"/>
      <c r="B229" s="53"/>
      <c r="C229" s="53"/>
      <c r="D229" s="53"/>
      <c r="E229" s="53"/>
      <c r="F229" s="53"/>
      <c r="G229" s="65" t="s">
        <v>708</v>
      </c>
      <c r="H229" s="53"/>
      <c r="I229" s="53"/>
      <c r="J229" s="53"/>
      <c r="K229" s="29"/>
      <c r="L229" s="29"/>
    </row>
    <row r="230" spans="1:12" x14ac:dyDescent="0.25">
      <c r="A230" s="30"/>
      <c r="B230" s="29"/>
      <c r="C230" s="29"/>
      <c r="D230" s="29"/>
      <c r="E230" s="29"/>
      <c r="F230" s="29"/>
      <c r="G230" s="31"/>
      <c r="H230" s="29"/>
      <c r="I230" s="29"/>
      <c r="J230" s="29"/>
      <c r="K230" s="29"/>
      <c r="L230" s="29"/>
    </row>
    <row r="231" spans="1:12" ht="15.75" x14ac:dyDescent="0.25">
      <c r="A231" s="32" t="s">
        <v>0</v>
      </c>
      <c r="B231" s="29"/>
      <c r="C231" s="29"/>
      <c r="D231" s="29"/>
      <c r="E231" s="29"/>
      <c r="F231" s="29"/>
      <c r="G231" s="29"/>
      <c r="H231" s="29"/>
      <c r="I231" s="29"/>
      <c r="K231" s="29"/>
      <c r="L231" s="29"/>
    </row>
    <row r="232" spans="1:12" x14ac:dyDescent="0.25"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</row>
    <row r="233" spans="1:12" ht="15.75" x14ac:dyDescent="0.25">
      <c r="A233" s="33" t="s">
        <v>1</v>
      </c>
      <c r="B233" s="33"/>
      <c r="C233" s="34"/>
      <c r="D233" s="34"/>
      <c r="E233" s="34"/>
      <c r="F233" s="34"/>
      <c r="G233" s="34"/>
      <c r="H233" s="35" t="s">
        <v>2</v>
      </c>
      <c r="I233" s="36"/>
      <c r="J233" s="34"/>
      <c r="K233" s="29"/>
      <c r="L233" s="29"/>
    </row>
    <row r="234" spans="1:12" ht="15.75" x14ac:dyDescent="0.25">
      <c r="A234" s="33" t="s">
        <v>3</v>
      </c>
      <c r="B234" s="33"/>
      <c r="C234" s="107"/>
      <c r="D234" s="108"/>
      <c r="E234" s="108"/>
      <c r="F234" s="108"/>
      <c r="G234" s="108"/>
      <c r="H234" s="108"/>
      <c r="I234" s="108"/>
      <c r="J234" s="108"/>
      <c r="K234" s="29"/>
      <c r="L234" s="29"/>
    </row>
    <row r="235" spans="1:12" ht="15.75" x14ac:dyDescent="0.25">
      <c r="A235" s="33" t="s">
        <v>698</v>
      </c>
      <c r="B235" s="33"/>
      <c r="C235" s="105"/>
      <c r="D235" s="106"/>
      <c r="E235" s="106"/>
      <c r="F235" s="106"/>
      <c r="G235" s="106"/>
      <c r="H235" s="106"/>
      <c r="I235" s="106"/>
      <c r="J235" s="106"/>
      <c r="K235" s="29"/>
      <c r="L235" s="29"/>
    </row>
    <row r="236" spans="1:12" ht="15.75" x14ac:dyDescent="0.25">
      <c r="A236" s="33" t="s">
        <v>699</v>
      </c>
      <c r="B236" s="33"/>
      <c r="C236" s="105"/>
      <c r="D236" s="106"/>
      <c r="E236" s="106"/>
      <c r="F236" s="106"/>
      <c r="G236" s="106"/>
      <c r="H236" s="106"/>
      <c r="I236" s="106"/>
      <c r="J236" s="106"/>
      <c r="K236" s="29"/>
      <c r="L236" s="29"/>
    </row>
    <row r="237" spans="1:12" ht="15.75" x14ac:dyDescent="0.25">
      <c r="A237" s="33" t="s">
        <v>700</v>
      </c>
      <c r="B237" s="33"/>
      <c r="C237" s="105"/>
      <c r="D237" s="106"/>
      <c r="E237" s="106"/>
      <c r="F237" s="106"/>
      <c r="G237" s="106"/>
      <c r="H237" s="106"/>
      <c r="I237" s="106"/>
      <c r="J237" s="106"/>
      <c r="K237" s="29"/>
      <c r="L237" s="29"/>
    </row>
    <row r="238" spans="1:12" ht="15.75" x14ac:dyDescent="0.25">
      <c r="A238" s="33" t="s">
        <v>701</v>
      </c>
      <c r="B238" s="33"/>
      <c r="C238" s="105"/>
      <c r="D238" s="106"/>
      <c r="E238" s="106"/>
      <c r="F238" s="106"/>
      <c r="G238" s="106"/>
      <c r="H238" s="106"/>
      <c r="I238" s="106"/>
      <c r="J238" s="106"/>
      <c r="K238" s="29"/>
      <c r="L238" s="29"/>
    </row>
    <row r="239" spans="1:12" ht="31.5" x14ac:dyDescent="0.25">
      <c r="A239" s="37" t="s">
        <v>702</v>
      </c>
      <c r="B239" s="33"/>
      <c r="C239" s="107"/>
      <c r="D239" s="108"/>
      <c r="E239" s="108"/>
      <c r="F239" s="108"/>
      <c r="G239" s="108"/>
      <c r="H239" s="108"/>
      <c r="I239" s="108"/>
      <c r="J239" s="108"/>
      <c r="K239" s="29"/>
      <c r="L239" s="29"/>
    </row>
    <row r="240" spans="1:12" ht="15.75" x14ac:dyDescent="0.25">
      <c r="A240" s="33" t="s">
        <v>4</v>
      </c>
      <c r="B240" s="33"/>
      <c r="C240" s="105"/>
      <c r="D240" s="106"/>
      <c r="E240" s="106"/>
      <c r="F240" s="106"/>
      <c r="G240" s="106"/>
      <c r="H240" s="106"/>
      <c r="I240" s="106"/>
      <c r="J240" s="106"/>
      <c r="K240" s="29"/>
      <c r="L240" s="29"/>
    </row>
    <row r="241" spans="1:12" ht="15.75" x14ac:dyDescent="0.25">
      <c r="A241" s="33" t="s">
        <v>117</v>
      </c>
      <c r="B241" s="33"/>
      <c r="C241" s="105"/>
      <c r="D241" s="106"/>
      <c r="E241" s="106"/>
      <c r="F241" s="106"/>
      <c r="G241" s="106"/>
      <c r="H241" s="106"/>
      <c r="I241" s="106"/>
      <c r="J241" s="106"/>
      <c r="K241" s="29"/>
      <c r="L241" s="29"/>
    </row>
    <row r="242" spans="1:12" x14ac:dyDescent="0.25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</row>
    <row r="243" spans="1:12" x14ac:dyDescent="0.25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</row>
    <row r="244" spans="1:12" x14ac:dyDescent="0.25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</row>
    <row r="245" spans="1:12" x14ac:dyDescent="0.25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</row>
    <row r="246" spans="1:12" x14ac:dyDescent="0.25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</row>
    <row r="247" spans="1:12" x14ac:dyDescent="0.25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</row>
    <row r="248" spans="1:12" x14ac:dyDescent="0.25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</row>
    <row r="249" spans="1:12" x14ac:dyDescent="0.25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</row>
    <row r="250" spans="1:12" x14ac:dyDescent="0.25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</row>
    <row r="251" spans="1:12" x14ac:dyDescent="0.25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</row>
    <row r="252" spans="1:12" x14ac:dyDescent="0.25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</row>
    <row r="253" spans="1:12" x14ac:dyDescent="0.25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</row>
    <row r="254" spans="1:12" x14ac:dyDescent="0.25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</row>
    <row r="255" spans="1:12" x14ac:dyDescent="0.25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</row>
    <row r="256" spans="1:12" x14ac:dyDescent="0.25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</row>
    <row r="257" spans="1:12" x14ac:dyDescent="0.25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</row>
    <row r="258" spans="1:12" x14ac:dyDescent="0.25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</row>
    <row r="259" spans="1:12" x14ac:dyDescent="0.25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</row>
    <row r="260" spans="1:12" x14ac:dyDescent="0.25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</row>
    <row r="261" spans="1:12" x14ac:dyDescent="0.25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</row>
    <row r="262" spans="1:12" x14ac:dyDescent="0.25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</row>
    <row r="263" spans="1:12" x14ac:dyDescent="0.25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</row>
    <row r="264" spans="1:12" x14ac:dyDescent="0.2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</row>
    <row r="265" spans="1:12" x14ac:dyDescent="0.25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</row>
    <row r="266" spans="1:12" x14ac:dyDescent="0.25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</row>
    <row r="267" spans="1:12" x14ac:dyDescent="0.25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</row>
    <row r="268" spans="1:12" x14ac:dyDescent="0.25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</row>
    <row r="269" spans="1:12" x14ac:dyDescent="0.25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</row>
    <row r="270" spans="1:12" x14ac:dyDescent="0.25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</row>
    <row r="271" spans="1:12" x14ac:dyDescent="0.25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</row>
    <row r="272" spans="1:12" x14ac:dyDescent="0.25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</row>
    <row r="273" spans="1:12" x14ac:dyDescent="0.25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</row>
    <row r="274" spans="1:12" x14ac:dyDescent="0.25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</row>
    <row r="275" spans="1:12" x14ac:dyDescent="0.25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</row>
    <row r="276" spans="1:12" x14ac:dyDescent="0.25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</row>
    <row r="277" spans="1:12" x14ac:dyDescent="0.25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</row>
    <row r="278" spans="1:12" x14ac:dyDescent="0.25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</row>
    <row r="279" spans="1:12" x14ac:dyDescent="0.25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</row>
    <row r="280" spans="1:12" x14ac:dyDescent="0.25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</row>
    <row r="281" spans="1:12" x14ac:dyDescent="0.25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</row>
    <row r="282" spans="1:12" x14ac:dyDescent="0.25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</row>
    <row r="283" spans="1:12" x14ac:dyDescent="0.25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</row>
    <row r="284" spans="1:12" x14ac:dyDescent="0.25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</row>
    <row r="285" spans="1:12" x14ac:dyDescent="0.25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</row>
    <row r="286" spans="1:12" x14ac:dyDescent="0.25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</row>
    <row r="287" spans="1:12" x14ac:dyDescent="0.25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</row>
    <row r="288" spans="1:12" x14ac:dyDescent="0.25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</row>
    <row r="289" spans="1:12" x14ac:dyDescent="0.25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</row>
    <row r="290" spans="1:12" x14ac:dyDescent="0.25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</row>
    <row r="291" spans="1:12" x14ac:dyDescent="0.25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</row>
    <row r="292" spans="1:12" x14ac:dyDescent="0.25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</row>
    <row r="293" spans="1:12" x14ac:dyDescent="0.25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</row>
    <row r="294" spans="1:12" x14ac:dyDescent="0.25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</row>
    <row r="295" spans="1:12" x14ac:dyDescent="0.25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</row>
    <row r="296" spans="1:12" x14ac:dyDescent="0.25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</row>
    <row r="297" spans="1:12" x14ac:dyDescent="0.25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</row>
    <row r="298" spans="1:12" x14ac:dyDescent="0.25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</row>
    <row r="299" spans="1:12" x14ac:dyDescent="0.25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</row>
    <row r="300" spans="1:12" x14ac:dyDescent="0.25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</row>
    <row r="301" spans="1:12" x14ac:dyDescent="0.25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</row>
    <row r="302" spans="1:12" x14ac:dyDescent="0.25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</row>
    <row r="303" spans="1:12" x14ac:dyDescent="0.25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</row>
    <row r="304" spans="1:12" x14ac:dyDescent="0.25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</row>
    <row r="305" spans="1:12" x14ac:dyDescent="0.25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</row>
    <row r="306" spans="1:12" x14ac:dyDescent="0.25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</row>
    <row r="307" spans="1:12" x14ac:dyDescent="0.25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</row>
    <row r="308" spans="1:12" x14ac:dyDescent="0.25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</row>
    <row r="309" spans="1:12" x14ac:dyDescent="0.25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</row>
    <row r="310" spans="1:12" x14ac:dyDescent="0.25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</row>
    <row r="311" spans="1:12" x14ac:dyDescent="0.25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</row>
    <row r="312" spans="1:12" x14ac:dyDescent="0.25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</row>
    <row r="313" spans="1:12" x14ac:dyDescent="0.25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</row>
    <row r="314" spans="1:12" x14ac:dyDescent="0.25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</row>
    <row r="315" spans="1:12" x14ac:dyDescent="0.25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</row>
    <row r="316" spans="1:12" x14ac:dyDescent="0.25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</row>
    <row r="317" spans="1:12" x14ac:dyDescent="0.25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</row>
    <row r="318" spans="1:12" x14ac:dyDescent="0.25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</row>
    <row r="319" spans="1:12" x14ac:dyDescent="0.25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</row>
    <row r="320" spans="1:12" x14ac:dyDescent="0.25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</row>
    <row r="321" spans="1:12" x14ac:dyDescent="0.25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</row>
    <row r="322" spans="1:12" x14ac:dyDescent="0.25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</row>
    <row r="323" spans="1:12" x14ac:dyDescent="0.25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</row>
    <row r="324" spans="1:12" x14ac:dyDescent="0.25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</row>
    <row r="325" spans="1:12" x14ac:dyDescent="0.25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</row>
    <row r="326" spans="1:12" x14ac:dyDescent="0.25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</row>
    <row r="327" spans="1:12" x14ac:dyDescent="0.25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</row>
    <row r="328" spans="1:12" x14ac:dyDescent="0.25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</row>
    <row r="329" spans="1:12" x14ac:dyDescent="0.25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</row>
    <row r="330" spans="1:12" x14ac:dyDescent="0.25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</row>
    <row r="331" spans="1:12" x14ac:dyDescent="0.25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</row>
    <row r="332" spans="1:12" x14ac:dyDescent="0.25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</row>
    <row r="333" spans="1:12" x14ac:dyDescent="0.25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</row>
    <row r="334" spans="1:12" x14ac:dyDescent="0.25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</row>
    <row r="335" spans="1:12" x14ac:dyDescent="0.25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</row>
    <row r="336" spans="1:12" x14ac:dyDescent="0.25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</row>
    <row r="337" spans="1:12" x14ac:dyDescent="0.25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</row>
    <row r="338" spans="1:12" x14ac:dyDescent="0.25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</row>
    <row r="339" spans="1:12" x14ac:dyDescent="0.25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</row>
    <row r="340" spans="1:12" x14ac:dyDescent="0.25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</row>
    <row r="341" spans="1:12" x14ac:dyDescent="0.25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</row>
  </sheetData>
  <sheetProtection algorithmName="SHA-512" hashValue="siRd2qSSubMKQazl7GlwdqpaV6r3IRbrfBq3GUVWnv4lFz/fVyo4dgDfED7UjeChxv2X/3uH9OzRWu9sVEU1+A==" saltValue="jmM2x2gaDf/C4yIrAvAC4A==" spinCount="100000" sheet="1" objects="1" scenarios="1"/>
  <mergeCells count="10">
    <mergeCell ref="A1:J1"/>
    <mergeCell ref="C238:J238"/>
    <mergeCell ref="C239:J239"/>
    <mergeCell ref="C240:J240"/>
    <mergeCell ref="C241:J241"/>
    <mergeCell ref="A222:E222"/>
    <mergeCell ref="C234:J234"/>
    <mergeCell ref="C235:J235"/>
    <mergeCell ref="C236:J236"/>
    <mergeCell ref="C237:J237"/>
  </mergeCells>
  <pageMargins left="0.5" right="0.5" top="0.75" bottom="0.75" header="0.3" footer="0.3"/>
  <pageSetup scale="68" fitToHeight="0" orientation="portrait" r:id="rId1"/>
  <headerFooter>
    <oddFooter>&amp;C&amp;P of &amp;N</oddFooter>
  </headerFooter>
  <rowBreaks count="3" manualBreakCount="3">
    <brk id="24" max="16383" man="1"/>
    <brk id="63" max="16383" man="1"/>
    <brk id="15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AE56B1F4472E46A59917972ED56901" ma:contentTypeVersion="4" ma:contentTypeDescription="Create a new document." ma:contentTypeScope="" ma:versionID="b45063d51f9b6f3d05164fd0914abe6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9f8a7ee62ec5a0ae4d6004028b8cf6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2BFCA0-4D6B-4B46-B5AA-D378589B97EA}"/>
</file>

<file path=customXml/itemProps2.xml><?xml version="1.0" encoding="utf-8"?>
<ds:datastoreItem xmlns:ds="http://schemas.openxmlformats.org/officeDocument/2006/customXml" ds:itemID="{1350E206-A211-4E45-8F84-F5A3A8B9794A}"/>
</file>

<file path=customXml/itemProps3.xml><?xml version="1.0" encoding="utf-8"?>
<ds:datastoreItem xmlns:ds="http://schemas.openxmlformats.org/officeDocument/2006/customXml" ds:itemID="{152BFCA0-4D6B-4B46-B5AA-D378589B97EA}"/>
</file>

<file path=customXml/itemProps4.xml><?xml version="1.0" encoding="utf-8"?>
<ds:datastoreItem xmlns:ds="http://schemas.openxmlformats.org/officeDocument/2006/customXml" ds:itemID="{255FDC76-AB58-4064-AE20-1A60D2531F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Bid Form Instructions</vt:lpstr>
      <vt:lpstr>DHHC</vt:lpstr>
      <vt:lpstr>Holly Center</vt:lpstr>
      <vt:lpstr>Potomac Center</vt:lpstr>
      <vt:lpstr>RICA-Baltimore</vt:lpstr>
      <vt:lpstr>RICA-Rockville</vt:lpstr>
      <vt:lpstr>WMHC</vt:lpstr>
      <vt:lpstr>DHHC!Print_Titles</vt:lpstr>
      <vt:lpstr>'Holly Center'!Print_Titles</vt:lpstr>
      <vt:lpstr>'Potomac Center'!Print_Titles</vt:lpstr>
      <vt:lpstr>'RICA-Baltimore'!Print_Titles</vt:lpstr>
      <vt:lpstr>'RICA-Rockville'!Print_Titles</vt:lpstr>
      <vt:lpstr>WMHC!Print_Titles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Kathy J. Brown</dc:creator>
  <cp:lastModifiedBy>Naishadh Desai</cp:lastModifiedBy>
  <cp:lastPrinted>2019-05-06T20:49:08Z</cp:lastPrinted>
  <dcterms:created xsi:type="dcterms:W3CDTF">2018-05-29T14:24:32Z</dcterms:created>
  <dcterms:modified xsi:type="dcterms:W3CDTF">2020-05-15T12:35:49Z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0x010100EFAE56B1F4472E46A59917972ED56901</vt:lpwstr>
  </property>
  <property fmtid="{D5CDD505-2E9C-101B-9397-08002B2CF9AE}" pid="3" name="_dlc_DocIdItemGuid">
    <vt:lpwstr>5b364938-99b9-495e-bb12-aafad3734bc8</vt:lpwstr>
  </property>
</Properties>
</file>